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8\17 Mini Geothermal\2. PROCESS\C. Calculation\2. Equipment Sizing\Rev O (Draft)\"/>
    </mc:Choice>
  </mc:AlternateContent>
  <bookViews>
    <workbookView xWindow="0" yWindow="0" windowWidth="20490" windowHeight="7530" activeTab="1" xr2:uid="{C237A2E0-6996-4596-8382-6045645A4E93}"/>
  </bookViews>
  <sheets>
    <sheet name="Scrubber-10min" sheetId="2" r:id="rId1"/>
    <sheet name="Demister-10min" sheetId="4" r:id="rId2"/>
  </sheets>
  <externalReferences>
    <externalReference r:id="rId3"/>
    <externalReference r:id="rId4"/>
    <externalReference r:id="rId5"/>
    <externalReference r:id="rId6"/>
  </externalReferences>
  <definedNames>
    <definedName name="\" localSheetId="1">#REF!</definedName>
    <definedName name="\" localSheetId="0">#REF!</definedName>
    <definedName name="\">#REF!</definedName>
    <definedName name="\0" localSheetId="1">#REF!</definedName>
    <definedName name="\0" localSheetId="0">#REF!</definedName>
    <definedName name="\0">#REF!</definedName>
    <definedName name="\P" localSheetId="1">#REF!</definedName>
    <definedName name="\P" localSheetId="0">#REF!</definedName>
    <definedName name="\P">#REF!</definedName>
    <definedName name="\z" localSheetId="1">[1]BATCH!#REF!</definedName>
    <definedName name="\z" localSheetId="0">[1]BATCH!#REF!</definedName>
    <definedName name="\z">[1]BATCH!#REF!</definedName>
    <definedName name="__max1" localSheetId="1">#REF!</definedName>
    <definedName name="__max1" localSheetId="0">#REF!</definedName>
    <definedName name="__max1">#REF!</definedName>
    <definedName name="__max10" localSheetId="1">#REF!</definedName>
    <definedName name="__max10" localSheetId="0">#REF!</definedName>
    <definedName name="__max10">#REF!</definedName>
    <definedName name="__max11" localSheetId="1">#REF!</definedName>
    <definedName name="__max11" localSheetId="0">#REF!</definedName>
    <definedName name="__max11">#REF!</definedName>
    <definedName name="__max12" localSheetId="1">#REF!</definedName>
    <definedName name="__max12" localSheetId="0">#REF!</definedName>
    <definedName name="__max12">#REF!</definedName>
    <definedName name="__max13" localSheetId="1">#REF!</definedName>
    <definedName name="__max13" localSheetId="0">#REF!</definedName>
    <definedName name="__max13">#REF!</definedName>
    <definedName name="__max14" localSheetId="1">#REF!</definedName>
    <definedName name="__max14" localSheetId="0">#REF!</definedName>
    <definedName name="__max14">#REF!</definedName>
    <definedName name="__max15" localSheetId="1">#REF!</definedName>
    <definedName name="__max15" localSheetId="0">#REF!</definedName>
    <definedName name="__max15">#REF!</definedName>
    <definedName name="__max16" localSheetId="1">#REF!</definedName>
    <definedName name="__max16" localSheetId="0">#REF!</definedName>
    <definedName name="__max16">#REF!</definedName>
    <definedName name="__max17" localSheetId="1">#REF!</definedName>
    <definedName name="__max17" localSheetId="0">#REF!</definedName>
    <definedName name="__max17">#REF!</definedName>
    <definedName name="__max18" localSheetId="1">#REF!</definedName>
    <definedName name="__max18" localSheetId="0">#REF!</definedName>
    <definedName name="__max18">#REF!</definedName>
    <definedName name="__max19" localSheetId="1">#REF!</definedName>
    <definedName name="__max19" localSheetId="0">#REF!</definedName>
    <definedName name="__max19">#REF!</definedName>
    <definedName name="__max2" localSheetId="1">#REF!</definedName>
    <definedName name="__max2" localSheetId="0">#REF!</definedName>
    <definedName name="__max2">#REF!</definedName>
    <definedName name="__max20" localSheetId="1">#REF!</definedName>
    <definedName name="__max20" localSheetId="0">#REF!</definedName>
    <definedName name="__max20">#REF!</definedName>
    <definedName name="__max21" localSheetId="1">#REF!</definedName>
    <definedName name="__max21" localSheetId="0">#REF!</definedName>
    <definedName name="__max21">#REF!</definedName>
    <definedName name="__max22" localSheetId="1">#REF!</definedName>
    <definedName name="__max22" localSheetId="0">#REF!</definedName>
    <definedName name="__max22">#REF!</definedName>
    <definedName name="__max23" localSheetId="1">#REF!</definedName>
    <definedName name="__max23" localSheetId="0">#REF!</definedName>
    <definedName name="__max23">#REF!</definedName>
    <definedName name="__max24" localSheetId="1">#REF!</definedName>
    <definedName name="__max24" localSheetId="0">#REF!</definedName>
    <definedName name="__max24">#REF!</definedName>
    <definedName name="__max25" localSheetId="1">#REF!</definedName>
    <definedName name="__max25" localSheetId="0">#REF!</definedName>
    <definedName name="__max25">#REF!</definedName>
    <definedName name="__max26" localSheetId="1">#REF!</definedName>
    <definedName name="__max26" localSheetId="0">#REF!</definedName>
    <definedName name="__max26">#REF!</definedName>
    <definedName name="__max3" localSheetId="1">#REF!</definedName>
    <definedName name="__max3" localSheetId="0">#REF!</definedName>
    <definedName name="__max3">#REF!</definedName>
    <definedName name="__max4" localSheetId="1">#REF!</definedName>
    <definedName name="__max4" localSheetId="0">#REF!</definedName>
    <definedName name="__max4">#REF!</definedName>
    <definedName name="__max5" localSheetId="1">#REF!</definedName>
    <definedName name="__max5" localSheetId="0">#REF!</definedName>
    <definedName name="__max5">#REF!</definedName>
    <definedName name="__max6" localSheetId="1">#REF!</definedName>
    <definedName name="__max6" localSheetId="0">#REF!</definedName>
    <definedName name="__max6">#REF!</definedName>
    <definedName name="__max7" localSheetId="1">#REF!</definedName>
    <definedName name="__max7" localSheetId="0">#REF!</definedName>
    <definedName name="__max7">#REF!</definedName>
    <definedName name="__max8" localSheetId="1">#REF!</definedName>
    <definedName name="__max8" localSheetId="0">#REF!</definedName>
    <definedName name="__max8">#REF!</definedName>
    <definedName name="__max9" localSheetId="1">#REF!</definedName>
    <definedName name="__max9" localSheetId="0">#REF!</definedName>
    <definedName name="__max9">#REF!</definedName>
    <definedName name="_max1" localSheetId="1">#REF!</definedName>
    <definedName name="_max1" localSheetId="0">#REF!</definedName>
    <definedName name="_max1">#REF!</definedName>
    <definedName name="_max10" localSheetId="1">#REF!</definedName>
    <definedName name="_max10" localSheetId="0">#REF!</definedName>
    <definedName name="_max10">#REF!</definedName>
    <definedName name="_max11" localSheetId="1">#REF!</definedName>
    <definedName name="_max11" localSheetId="0">#REF!</definedName>
    <definedName name="_max11">#REF!</definedName>
    <definedName name="_max12" localSheetId="1">#REF!</definedName>
    <definedName name="_max12" localSheetId="0">#REF!</definedName>
    <definedName name="_max12">#REF!</definedName>
    <definedName name="_max13" localSheetId="1">#REF!</definedName>
    <definedName name="_max13" localSheetId="0">#REF!</definedName>
    <definedName name="_max13">#REF!</definedName>
    <definedName name="_max14" localSheetId="1">#REF!</definedName>
    <definedName name="_max14" localSheetId="0">#REF!</definedName>
    <definedName name="_max14">#REF!</definedName>
    <definedName name="_max15" localSheetId="1">#REF!</definedName>
    <definedName name="_max15" localSheetId="0">#REF!</definedName>
    <definedName name="_max15">#REF!</definedName>
    <definedName name="_max16" localSheetId="1">#REF!</definedName>
    <definedName name="_max16" localSheetId="0">#REF!</definedName>
    <definedName name="_max16">#REF!</definedName>
    <definedName name="_max17" localSheetId="1">#REF!</definedName>
    <definedName name="_max17" localSheetId="0">#REF!</definedName>
    <definedName name="_max17">#REF!</definedName>
    <definedName name="_max18" localSheetId="1">#REF!</definedName>
    <definedName name="_max18" localSheetId="0">#REF!</definedName>
    <definedName name="_max18">#REF!</definedName>
    <definedName name="_max19" localSheetId="1">#REF!</definedName>
    <definedName name="_max19" localSheetId="0">#REF!</definedName>
    <definedName name="_max19">#REF!</definedName>
    <definedName name="_max2" localSheetId="1">#REF!</definedName>
    <definedName name="_max2" localSheetId="0">#REF!</definedName>
    <definedName name="_max2">#REF!</definedName>
    <definedName name="_max20" localSheetId="1">#REF!</definedName>
    <definedName name="_max20" localSheetId="0">#REF!</definedName>
    <definedName name="_max20">#REF!</definedName>
    <definedName name="_max21" localSheetId="1">#REF!</definedName>
    <definedName name="_max21" localSheetId="0">#REF!</definedName>
    <definedName name="_max21">#REF!</definedName>
    <definedName name="_max22" localSheetId="1">#REF!</definedName>
    <definedName name="_max22" localSheetId="0">#REF!</definedName>
    <definedName name="_max22">#REF!</definedName>
    <definedName name="_max23" localSheetId="1">#REF!</definedName>
    <definedName name="_max23" localSheetId="0">#REF!</definedName>
    <definedName name="_max23">#REF!</definedName>
    <definedName name="_max24" localSheetId="1">#REF!</definedName>
    <definedName name="_max24" localSheetId="0">#REF!</definedName>
    <definedName name="_max24">#REF!</definedName>
    <definedName name="_max25" localSheetId="1">#REF!</definedName>
    <definedName name="_max25" localSheetId="0">#REF!</definedName>
    <definedName name="_max25">#REF!</definedName>
    <definedName name="_max26" localSheetId="1">#REF!</definedName>
    <definedName name="_max26" localSheetId="0">#REF!</definedName>
    <definedName name="_max26">#REF!</definedName>
    <definedName name="_max3" localSheetId="1">#REF!</definedName>
    <definedName name="_max3" localSheetId="0">#REF!</definedName>
    <definedName name="_max3">#REF!</definedName>
    <definedName name="_max4" localSheetId="1">#REF!</definedName>
    <definedName name="_max4" localSheetId="0">#REF!</definedName>
    <definedName name="_max4">#REF!</definedName>
    <definedName name="_max5" localSheetId="1">#REF!</definedName>
    <definedName name="_max5" localSheetId="0">#REF!</definedName>
    <definedName name="_max5">#REF!</definedName>
    <definedName name="_max6" localSheetId="1">#REF!</definedName>
    <definedName name="_max6" localSheetId="0">#REF!</definedName>
    <definedName name="_max6">#REF!</definedName>
    <definedName name="_max7" localSheetId="1">#REF!</definedName>
    <definedName name="_max7" localSheetId="0">#REF!</definedName>
    <definedName name="_max7">#REF!</definedName>
    <definedName name="_max8" localSheetId="1">#REF!</definedName>
    <definedName name="_max8" localSheetId="0">#REF!</definedName>
    <definedName name="_max8">#REF!</definedName>
    <definedName name="_max9" localSheetId="1">#REF!</definedName>
    <definedName name="_max9" localSheetId="0">#REF!</definedName>
    <definedName name="_max9">#REF!</definedName>
    <definedName name="_Order1" hidden="1">255</definedName>
    <definedName name="_Order2" hidden="1">0</definedName>
    <definedName name="base1" localSheetId="1">#REF!</definedName>
    <definedName name="base1" localSheetId="0">#REF!</definedName>
    <definedName name="base1">#REF!</definedName>
    <definedName name="base10" localSheetId="1">#REF!</definedName>
    <definedName name="base10" localSheetId="0">#REF!</definedName>
    <definedName name="base10">#REF!</definedName>
    <definedName name="base11" localSheetId="1">#REF!</definedName>
    <definedName name="base11" localSheetId="0">#REF!</definedName>
    <definedName name="base11">#REF!</definedName>
    <definedName name="base12" localSheetId="1">#REF!</definedName>
    <definedName name="base12" localSheetId="0">#REF!</definedName>
    <definedName name="base12">#REF!</definedName>
    <definedName name="base13" localSheetId="1">#REF!</definedName>
    <definedName name="base13" localSheetId="0">#REF!</definedName>
    <definedName name="base13">#REF!</definedName>
    <definedName name="base14" localSheetId="1">#REF!</definedName>
    <definedName name="base14" localSheetId="0">#REF!</definedName>
    <definedName name="base14">#REF!</definedName>
    <definedName name="base15" localSheetId="1">#REF!</definedName>
    <definedName name="base15" localSheetId="0">#REF!</definedName>
    <definedName name="base15">#REF!</definedName>
    <definedName name="base16" localSheetId="1">#REF!</definedName>
    <definedName name="base16" localSheetId="0">#REF!</definedName>
    <definedName name="base16">#REF!</definedName>
    <definedName name="base17" localSheetId="1">#REF!</definedName>
    <definedName name="base17" localSheetId="0">#REF!</definedName>
    <definedName name="base17">#REF!</definedName>
    <definedName name="base18" localSheetId="1">#REF!</definedName>
    <definedName name="base18" localSheetId="0">#REF!</definedName>
    <definedName name="base18">#REF!</definedName>
    <definedName name="base19" localSheetId="1">#REF!</definedName>
    <definedName name="base19" localSheetId="0">#REF!</definedName>
    <definedName name="base19">#REF!</definedName>
    <definedName name="base2" localSheetId="1">#REF!</definedName>
    <definedName name="base2" localSheetId="0">#REF!</definedName>
    <definedName name="base2">#REF!</definedName>
    <definedName name="base20" localSheetId="1">#REF!</definedName>
    <definedName name="base20" localSheetId="0">#REF!</definedName>
    <definedName name="base20">#REF!</definedName>
    <definedName name="base21" localSheetId="1">#REF!</definedName>
    <definedName name="base21" localSheetId="0">#REF!</definedName>
    <definedName name="base21">#REF!</definedName>
    <definedName name="base22" localSheetId="1">#REF!</definedName>
    <definedName name="base22" localSheetId="0">#REF!</definedName>
    <definedName name="base22">#REF!</definedName>
    <definedName name="base23" localSheetId="1">#REF!</definedName>
    <definedName name="base23" localSheetId="0">#REF!</definedName>
    <definedName name="base23">#REF!</definedName>
    <definedName name="base24" localSheetId="1">#REF!</definedName>
    <definedName name="base24" localSheetId="0">#REF!</definedName>
    <definedName name="base24">#REF!</definedName>
    <definedName name="base25" localSheetId="1">#REF!</definedName>
    <definedName name="base25" localSheetId="0">#REF!</definedName>
    <definedName name="base25">#REF!</definedName>
    <definedName name="base26" localSheetId="1">#REF!</definedName>
    <definedName name="base26" localSheetId="0">#REF!</definedName>
    <definedName name="base26">#REF!</definedName>
    <definedName name="base3" localSheetId="1">#REF!</definedName>
    <definedName name="base3" localSheetId="0">#REF!</definedName>
    <definedName name="base3">#REF!</definedName>
    <definedName name="base4" localSheetId="1">#REF!</definedName>
    <definedName name="base4" localSheetId="0">#REF!</definedName>
    <definedName name="base4">#REF!</definedName>
    <definedName name="base5" localSheetId="1">#REF!</definedName>
    <definedName name="base5" localSheetId="0">#REF!</definedName>
    <definedName name="base5">#REF!</definedName>
    <definedName name="base6" localSheetId="1">#REF!</definedName>
    <definedName name="base6" localSheetId="0">#REF!</definedName>
    <definedName name="base6">#REF!</definedName>
    <definedName name="base7" localSheetId="1">#REF!</definedName>
    <definedName name="base7" localSheetId="0">#REF!</definedName>
    <definedName name="base7">#REF!</definedName>
    <definedName name="base8" localSheetId="1">#REF!</definedName>
    <definedName name="base8" localSheetId="0">#REF!</definedName>
    <definedName name="base8">#REF!</definedName>
    <definedName name="base9" localSheetId="1">#REF!</definedName>
    <definedName name="base9" localSheetId="0">#REF!</definedName>
    <definedName name="base9">#REF!</definedName>
    <definedName name="C_Data" localSheetId="1">'Demister-10min'!C_Data</definedName>
    <definedName name="C_Data" localSheetId="0">'Scrubber-10min'!C_Data</definedName>
    <definedName name="C_Data">[0]!C_Data</definedName>
    <definedName name="C_Data_Input" localSheetId="1">'Demister-10min'!C_Data_Input</definedName>
    <definedName name="C_Data_Input" localSheetId="0">'Scrubber-10min'!C_Data_Input</definedName>
    <definedName name="C_Data_Input">[0]!C_Data_Input</definedName>
    <definedName name="cgratio" localSheetId="1">#REF!</definedName>
    <definedName name="cgratio" localSheetId="0">#REF!</definedName>
    <definedName name="cgratio">#REF!</definedName>
    <definedName name="CriticPressure" localSheetId="1">[2]!CriticPressure</definedName>
    <definedName name="CriticPressure" localSheetId="0">[2]!CriticPressure</definedName>
    <definedName name="CriticPressure">[2]!CriticPressure</definedName>
    <definedName name="CVFULL" localSheetId="1">'Demister-10min'!CVFULL</definedName>
    <definedName name="CVFULL" localSheetId="0">'Scrubber-10min'!CVFULL</definedName>
    <definedName name="CVFULL">[0]!CVFULL</definedName>
    <definedName name="d" localSheetId="1">'Demister-10min'!d</definedName>
    <definedName name="d" localSheetId="0">'Scrubber-10min'!d</definedName>
    <definedName name="d">[0]!d</definedName>
    <definedName name="dd">[0]!dd</definedName>
    <definedName name="DetHeatRaio" localSheetId="1">[3]!DetHeatRaio</definedName>
    <definedName name="DetHeatRaio" localSheetId="0">[3]!DetHeatRaio</definedName>
    <definedName name="DetHeatRaio">[3]!DetHeatRaio</definedName>
    <definedName name="DetPc" localSheetId="1">[2]!DetPc</definedName>
    <definedName name="DetPc" localSheetId="0">[2]!DetPc</definedName>
    <definedName name="DetPc">[2]!DetPc</definedName>
    <definedName name="Direction_변경" localSheetId="1">'Demister-10min'!Direction_변경</definedName>
    <definedName name="Direction_변경" localSheetId="0">'Scrubber-10min'!Direction_변경</definedName>
    <definedName name="Direction_변경">[0]!Direction_변경</definedName>
    <definedName name="Enter" localSheetId="1">[2]!Enter</definedName>
    <definedName name="Enter" localSheetId="0">[2]!Enter</definedName>
    <definedName name="Enter">[2]!Enter</definedName>
    <definedName name="GREETING" localSheetId="1">#REF!</definedName>
    <definedName name="GREETING" localSheetId="0">#REF!</definedName>
    <definedName name="GREETING">#REF!</definedName>
    <definedName name="HeatRatio" localSheetId="1">[3]!HeatRatio</definedName>
    <definedName name="HeatRatio" localSheetId="0">[3]!HeatRatio</definedName>
    <definedName name="HeatRatio">[3]!HeatRatio</definedName>
    <definedName name="Module1.Trim_변경" localSheetId="1">[2]!Module1.Trim_변경</definedName>
    <definedName name="Module1.Trim_변경" localSheetId="0">[2]!Module1.Trim_변경</definedName>
    <definedName name="Module1.Trim_변경">[2]!Module1.Trim_변경</definedName>
    <definedName name="Module1.ValveType_변경" localSheetId="1">[2]!Module1.ValveType_변경</definedName>
    <definedName name="Module1.ValveType_변경" localSheetId="0">[2]!Module1.ValveType_변경</definedName>
    <definedName name="Module1.ValveType_변경">[2]!Module1.ValveType_변경</definedName>
    <definedName name="PortSize" localSheetId="1">[3]!PortSize</definedName>
    <definedName name="PortSize" localSheetId="0">[3]!PortSize</definedName>
    <definedName name="PortSize">[3]!PortSize</definedName>
    <definedName name="_xlnm.Print_Area" localSheetId="1">'Demister-10min'!$A$1:$AM$44</definedName>
    <definedName name="_xlnm.Print_Area" localSheetId="0">'Scrubber-10min'!$A$1:$AM$44</definedName>
    <definedName name="_xlnm.Print_Area">#REF!</definedName>
    <definedName name="Print_Area_MI" localSheetId="1">'[4]V-VESSEL (WITH DEMISTER)'!#REF!</definedName>
    <definedName name="Print_Area_MI" localSheetId="0">'[4]V-VESSEL (WITH DEMISTER)'!#REF!</definedName>
    <definedName name="Print_Area_MI">'[4]V-VESSEL (WITH DEMISTER)'!#REF!</definedName>
    <definedName name="Production">[0]!Production</definedName>
    <definedName name="Range_변경" localSheetId="1">'Demister-10min'!Range_변경</definedName>
    <definedName name="Range_변경" localSheetId="0">'Scrubber-10min'!Range_변경</definedName>
    <definedName name="Range_변경">[0]!Range_변경</definedName>
    <definedName name="ratio" localSheetId="1">#REF!</definedName>
    <definedName name="ratio" localSheetId="0">#REF!</definedName>
    <definedName name="ratio">#REF!</definedName>
    <definedName name="ratio1" localSheetId="1">#REF!</definedName>
    <definedName name="ratio1" localSheetId="0">#REF!</definedName>
    <definedName name="ratio1">#REF!</definedName>
    <definedName name="ratio10" localSheetId="1">#REF!</definedName>
    <definedName name="ratio10" localSheetId="0">#REF!</definedName>
    <definedName name="ratio10">#REF!</definedName>
    <definedName name="ratio11" localSheetId="1">#REF!</definedName>
    <definedName name="ratio11" localSheetId="0">#REF!</definedName>
    <definedName name="ratio11">#REF!</definedName>
    <definedName name="ratio12" localSheetId="1">#REF!</definedName>
    <definedName name="ratio12" localSheetId="0">#REF!</definedName>
    <definedName name="ratio12">#REF!</definedName>
    <definedName name="ratio13" localSheetId="1">#REF!</definedName>
    <definedName name="ratio13" localSheetId="0">#REF!</definedName>
    <definedName name="ratio13">#REF!</definedName>
    <definedName name="ratio14" localSheetId="1">#REF!</definedName>
    <definedName name="ratio14" localSheetId="0">#REF!</definedName>
    <definedName name="ratio14">#REF!</definedName>
    <definedName name="ratio15" localSheetId="1">#REF!</definedName>
    <definedName name="ratio15" localSheetId="0">#REF!</definedName>
    <definedName name="ratio15">#REF!</definedName>
    <definedName name="ratio16" localSheetId="1">#REF!</definedName>
    <definedName name="ratio16" localSheetId="0">#REF!</definedName>
    <definedName name="ratio16">#REF!</definedName>
    <definedName name="ratio17" localSheetId="1">#REF!</definedName>
    <definedName name="ratio17" localSheetId="0">#REF!</definedName>
    <definedName name="ratio17">#REF!</definedName>
    <definedName name="ratio18" localSheetId="1">#REF!</definedName>
    <definedName name="ratio18" localSheetId="0">#REF!</definedName>
    <definedName name="ratio18">#REF!</definedName>
    <definedName name="ratio19" localSheetId="1">#REF!</definedName>
    <definedName name="ratio19" localSheetId="0">#REF!</definedName>
    <definedName name="ratio19">#REF!</definedName>
    <definedName name="ratio2" localSheetId="1">#REF!</definedName>
    <definedName name="ratio2" localSheetId="0">#REF!</definedName>
    <definedName name="ratio2">#REF!</definedName>
    <definedName name="ratio20" localSheetId="1">#REF!</definedName>
    <definedName name="ratio20" localSheetId="0">#REF!</definedName>
    <definedName name="ratio20">#REF!</definedName>
    <definedName name="ratio21" localSheetId="1">#REF!</definedName>
    <definedName name="ratio21" localSheetId="0">#REF!</definedName>
    <definedName name="ratio21">#REF!</definedName>
    <definedName name="ratio22" localSheetId="1">#REF!</definedName>
    <definedName name="ratio22" localSheetId="0">#REF!</definedName>
    <definedName name="ratio22">#REF!</definedName>
    <definedName name="ratio23" localSheetId="1">#REF!</definedName>
    <definedName name="ratio23" localSheetId="0">#REF!</definedName>
    <definedName name="ratio23">#REF!</definedName>
    <definedName name="ratio24" localSheetId="1">#REF!</definedName>
    <definedName name="ratio24" localSheetId="0">#REF!</definedName>
    <definedName name="ratio24">#REF!</definedName>
    <definedName name="ratio25" localSheetId="1">#REF!</definedName>
    <definedName name="ratio25" localSheetId="0">#REF!</definedName>
    <definedName name="ratio25">#REF!</definedName>
    <definedName name="ratio26" localSheetId="1">#REF!</definedName>
    <definedName name="ratio26" localSheetId="0">#REF!</definedName>
    <definedName name="ratio26">#REF!</definedName>
    <definedName name="ratio3" localSheetId="1">#REF!</definedName>
    <definedName name="ratio3" localSheetId="0">#REF!</definedName>
    <definedName name="ratio3">#REF!</definedName>
    <definedName name="ratio4" localSheetId="1">#REF!</definedName>
    <definedName name="ratio4" localSheetId="0">#REF!</definedName>
    <definedName name="ratio4">#REF!</definedName>
    <definedName name="ratio5" localSheetId="1">#REF!</definedName>
    <definedName name="ratio5" localSheetId="0">#REF!</definedName>
    <definedName name="ratio5">#REF!</definedName>
    <definedName name="ratio6" localSheetId="1">#REF!</definedName>
    <definedName name="ratio6" localSheetId="0">#REF!</definedName>
    <definedName name="ratio6">#REF!</definedName>
    <definedName name="ratio7" localSheetId="1">#REF!</definedName>
    <definedName name="ratio7" localSheetId="0">#REF!</definedName>
    <definedName name="ratio7">#REF!</definedName>
    <definedName name="ratio8" localSheetId="1">#REF!</definedName>
    <definedName name="ratio8" localSheetId="0">#REF!</definedName>
    <definedName name="ratio8">#REF!</definedName>
    <definedName name="ratio9" localSheetId="1">#REF!</definedName>
    <definedName name="ratio9" localSheetId="0">#REF!</definedName>
    <definedName name="ratio9">#REF!</definedName>
    <definedName name="ratioc2" localSheetId="1">#REF!</definedName>
    <definedName name="ratioc2" localSheetId="0">#REF!</definedName>
    <definedName name="ratioc2">#REF!</definedName>
    <definedName name="ratioc3" localSheetId="1">#REF!</definedName>
    <definedName name="ratioc3" localSheetId="0">#REF!</definedName>
    <definedName name="ratioc3">#REF!</definedName>
    <definedName name="ratiocg" localSheetId="1">#REF!</definedName>
    <definedName name="ratiocg" localSheetId="0">#REF!</definedName>
    <definedName name="ratiocg">#REF!</definedName>
    <definedName name="Reset_Button_누르기" localSheetId="1">'Demister-10min'!Reset_Button_누르기</definedName>
    <definedName name="Reset_Button_누르기" localSheetId="0">'Scrubber-10min'!Reset_Button_누르기</definedName>
    <definedName name="Reset_Button_누르기">[0]!Reset_Button_누르기</definedName>
    <definedName name="RR" localSheetId="1">#REF!</definedName>
    <definedName name="RR" localSheetId="0">#REF!</definedName>
    <definedName name="RR">#REF!</definedName>
    <definedName name="Trim_변경" localSheetId="1">'Demister-10min'!Trim_변경</definedName>
    <definedName name="Trim_변경" localSheetId="0">'Scrubber-10min'!Trim_변경</definedName>
    <definedName name="Trim_변경">[0]!Trim_변경</definedName>
    <definedName name="UNIT" localSheetId="1">#REF!</definedName>
    <definedName name="UNIT" localSheetId="0">#REF!</definedName>
    <definedName name="UNIT">#REF!</definedName>
    <definedName name="UNITS" localSheetId="1">#REF!</definedName>
    <definedName name="UNITS" localSheetId="0">#REF!</definedName>
    <definedName name="UNITS">#REF!</definedName>
    <definedName name="Valve_Select" localSheetId="1">[3]!Valve_Select</definedName>
    <definedName name="Valve_Select" localSheetId="0">[3]!Valve_Select</definedName>
    <definedName name="Valve_Select">[3]!Valve_Select</definedName>
    <definedName name="ValveType_변경" localSheetId="1">'Demister-10min'!ValveType_변경</definedName>
    <definedName name="ValveType_변경" localSheetId="0">'Scrubber-10min'!ValveType_변경</definedName>
    <definedName name="ValveType_변경">[0]!ValveType_변경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4" l="1"/>
  <c r="N11" i="4"/>
  <c r="K11" i="4"/>
  <c r="N10" i="4"/>
  <c r="K10" i="4"/>
  <c r="N11" i="2"/>
  <c r="N10" i="2"/>
  <c r="K11" i="2"/>
  <c r="K10" i="2"/>
  <c r="K8" i="4" l="1"/>
  <c r="I59" i="4" l="1"/>
  <c r="I58" i="4"/>
  <c r="I57" i="4"/>
  <c r="I56" i="4"/>
  <c r="E18" i="4" s="1"/>
  <c r="AR18" i="4" s="1"/>
  <c r="D53" i="4"/>
  <c r="H46" i="4"/>
  <c r="H45" i="4"/>
  <c r="BC44" i="4"/>
  <c r="BE44" i="4" s="1"/>
  <c r="R44" i="4" s="1"/>
  <c r="BC43" i="4"/>
  <c r="P43" i="4"/>
  <c r="BK42" i="4"/>
  <c r="BE42" i="4"/>
  <c r="BC42" i="4"/>
  <c r="BA42" i="4"/>
  <c r="X42" i="4"/>
  <c r="R42" i="4"/>
  <c r="N42" i="4"/>
  <c r="BE41" i="4"/>
  <c r="BC41" i="4"/>
  <c r="R41" i="4"/>
  <c r="BE40" i="4"/>
  <c r="BC40" i="4"/>
  <c r="R40" i="4"/>
  <c r="AB22" i="4" s="1"/>
  <c r="BE39" i="4"/>
  <c r="BO21" i="4" s="1"/>
  <c r="BQ22" i="4" s="1"/>
  <c r="BC39" i="4"/>
  <c r="R39" i="4"/>
  <c r="BE38" i="4"/>
  <c r="BE37" i="4" s="1"/>
  <c r="BE36" i="4" s="1"/>
  <c r="BE35" i="4" s="1"/>
  <c r="BE34" i="4" s="1"/>
  <c r="BC38" i="4"/>
  <c r="N38" i="4"/>
  <c r="L38" i="4"/>
  <c r="BC37" i="4"/>
  <c r="BA37" i="4"/>
  <c r="AY37" i="4"/>
  <c r="N37" i="4"/>
  <c r="L37" i="4"/>
  <c r="BC36" i="4"/>
  <c r="AY36" i="4"/>
  <c r="BC35" i="4"/>
  <c r="BA35" i="4"/>
  <c r="N35" i="4"/>
  <c r="BC34" i="4"/>
  <c r="AY34" i="4"/>
  <c r="N34" i="4"/>
  <c r="L34" i="4"/>
  <c r="BS33" i="4"/>
  <c r="BC33" i="4"/>
  <c r="AF33" i="4"/>
  <c r="P33" i="4"/>
  <c r="BQ30" i="4"/>
  <c r="BC30" i="4"/>
  <c r="AD30" i="4"/>
  <c r="P30" i="4"/>
  <c r="BO29" i="4"/>
  <c r="AB29" i="4"/>
  <c r="BO28" i="4"/>
  <c r="BQ29" i="4" s="1"/>
  <c r="AD29" i="4" s="1"/>
  <c r="AB28" i="4"/>
  <c r="BC27" i="4"/>
  <c r="BC25" i="4"/>
  <c r="AB25" i="4"/>
  <c r="BC24" i="4"/>
  <c r="U24" i="4"/>
  <c r="P24" i="4"/>
  <c r="BC23" i="4"/>
  <c r="BO22" i="4"/>
  <c r="BQ25" i="4" s="1"/>
  <c r="AD22" i="4"/>
  <c r="BU20" i="4"/>
  <c r="BE20" i="4"/>
  <c r="AZ20" i="4"/>
  <c r="AY20" i="4"/>
  <c r="AT20" i="4"/>
  <c r="AR20" i="4"/>
  <c r="AH20" i="4"/>
  <c r="G20" i="4"/>
  <c r="BE19" i="4"/>
  <c r="AZ19" i="4"/>
  <c r="AY19" i="4"/>
  <c r="AT19" i="4"/>
  <c r="AR19" i="4"/>
  <c r="BE18" i="4"/>
  <c r="AZ18" i="4"/>
  <c r="AY18" i="4"/>
  <c r="AT18" i="4"/>
  <c r="BJ17" i="4"/>
  <c r="W17" i="4"/>
  <c r="BH14" i="4"/>
  <c r="U14" i="4"/>
  <c r="AX13" i="4"/>
  <c r="Q13" i="4"/>
  <c r="N13" i="4"/>
  <c r="K13" i="4"/>
  <c r="BH12" i="4"/>
  <c r="BH24" i="4" s="1"/>
  <c r="BD12" i="4"/>
  <c r="BA12" i="4"/>
  <c r="AX12" i="4"/>
  <c r="U12" i="4"/>
  <c r="BA11" i="4"/>
  <c r="BC29" i="4" s="1"/>
  <c r="AX11" i="4"/>
  <c r="Q11" i="4"/>
  <c r="BP10" i="4"/>
  <c r="BH10" i="4"/>
  <c r="BA10" i="4"/>
  <c r="AX10" i="4"/>
  <c r="AC10" i="4"/>
  <c r="U10" i="4"/>
  <c r="Q10" i="4"/>
  <c r="BH8" i="4"/>
  <c r="U8" i="4"/>
  <c r="Y6" i="4"/>
  <c r="K8" i="2"/>
  <c r="K7" i="2"/>
  <c r="BQ17" i="4" l="1"/>
  <c r="P29" i="4"/>
  <c r="AD17" i="4" s="1"/>
  <c r="AY29" i="4"/>
  <c r="L29" i="4" s="1"/>
  <c r="AD25" i="4"/>
  <c r="AY27" i="4"/>
  <c r="BC19" i="4"/>
  <c r="AY30" i="4"/>
  <c r="L30" i="4" s="1"/>
  <c r="BC28" i="4"/>
  <c r="AY26" i="4"/>
  <c r="L26" i="4" s="1"/>
  <c r="AV19" i="4"/>
  <c r="AW19" i="4" s="1"/>
  <c r="I19" i="4" s="1"/>
  <c r="R38" i="4"/>
  <c r="R37" i="4" s="1"/>
  <c r="R36" i="4" s="1"/>
  <c r="R35" i="4" s="1"/>
  <c r="R34" i="4" s="1"/>
  <c r="AB21" i="4"/>
  <c r="BA13" i="4"/>
  <c r="BS25" i="4" s="1"/>
  <c r="AF25" i="4" s="1"/>
  <c r="X40" i="4" s="1"/>
  <c r="BD10" i="4"/>
  <c r="BL6" i="4"/>
  <c r="BA34" i="4"/>
  <c r="BA36" i="4"/>
  <c r="L36" i="4"/>
  <c r="P44" i="4"/>
  <c r="N36" i="4" l="1"/>
  <c r="L27" i="4"/>
  <c r="AY28" i="4"/>
  <c r="L28" i="4" s="1"/>
  <c r="BD11" i="4"/>
  <c r="BD13" i="4"/>
  <c r="P28" i="4"/>
  <c r="AC14" i="4" s="1"/>
  <c r="BP14" i="4"/>
  <c r="AY40" i="4"/>
  <c r="L40" i="4" s="1"/>
  <c r="N40" i="4" s="1"/>
  <c r="BA39" i="4"/>
  <c r="BK39" i="4" s="1"/>
  <c r="AY39" i="4"/>
  <c r="L39" i="4" s="1"/>
  <c r="N39" i="4" s="1"/>
  <c r="BC20" i="4"/>
  <c r="P20" i="4" s="1"/>
  <c r="AV20" i="4"/>
  <c r="AW20" i="4" s="1"/>
  <c r="I20" i="4" s="1"/>
  <c r="BA41" i="4"/>
  <c r="BK41" i="4" s="1"/>
  <c r="BA40" i="4"/>
  <c r="BK40" i="4" s="1"/>
  <c r="AY41" i="4"/>
  <c r="L41" i="4" s="1"/>
  <c r="N41" i="4" s="1"/>
  <c r="BS29" i="4"/>
  <c r="AF29" i="4" s="1"/>
  <c r="X41" i="4" s="1"/>
  <c r="BS30" i="4"/>
  <c r="AF30" i="4" s="1"/>
  <c r="P19" i="4"/>
  <c r="BA19" i="4"/>
  <c r="N19" i="4" s="1"/>
  <c r="BS22" i="4"/>
  <c r="AF22" i="4" s="1"/>
  <c r="X39" i="4" s="1"/>
  <c r="G20" i="2"/>
  <c r="E18" i="2"/>
  <c r="I59" i="2"/>
  <c r="AR18" i="2"/>
  <c r="I57" i="2"/>
  <c r="I58" i="2"/>
  <c r="I56" i="2"/>
  <c r="D53" i="2"/>
  <c r="H45" i="2"/>
  <c r="BC42" i="2"/>
  <c r="BA42" i="2"/>
  <c r="X42" i="2"/>
  <c r="R42" i="2"/>
  <c r="N42" i="2"/>
  <c r="BC41" i="2"/>
  <c r="R41" i="2"/>
  <c r="AB28" i="2" s="1"/>
  <c r="BC40" i="2"/>
  <c r="R40" i="2"/>
  <c r="AB22" i="2" s="1"/>
  <c r="BC39" i="2"/>
  <c r="R39" i="2"/>
  <c r="R38" i="2" s="1"/>
  <c r="R37" i="2" s="1"/>
  <c r="R36" i="2" s="1"/>
  <c r="R35" i="2" s="1"/>
  <c r="R34" i="2" s="1"/>
  <c r="BC38" i="2"/>
  <c r="L38" i="2"/>
  <c r="N38" i="2" s="1"/>
  <c r="BC37" i="2"/>
  <c r="BH14" i="2" s="1"/>
  <c r="L37" i="2"/>
  <c r="N37" i="2" s="1"/>
  <c r="BC36" i="2"/>
  <c r="BC35" i="2"/>
  <c r="BA35" i="2"/>
  <c r="N35" i="2"/>
  <c r="BC34" i="2"/>
  <c r="BH10" i="2" s="1"/>
  <c r="L34" i="2"/>
  <c r="N34" i="2" s="1"/>
  <c r="AF33" i="2"/>
  <c r="P33" i="2"/>
  <c r="H46" i="2" s="1"/>
  <c r="AB29" i="2"/>
  <c r="BC27" i="2"/>
  <c r="BC30" i="2" s="1"/>
  <c r="P30" i="2" s="1"/>
  <c r="BC25" i="2"/>
  <c r="AB25" i="2"/>
  <c r="P24" i="2"/>
  <c r="BC23" i="2"/>
  <c r="AB21" i="2"/>
  <c r="BE20" i="2"/>
  <c r="BS33" i="2" s="1"/>
  <c r="AZ20" i="2"/>
  <c r="AY20" i="2"/>
  <c r="AT20" i="2"/>
  <c r="AR20" i="2"/>
  <c r="BE19" i="2"/>
  <c r="BH8" i="2" s="1"/>
  <c r="AZ19" i="2"/>
  <c r="AY19" i="2"/>
  <c r="AT19" i="2"/>
  <c r="AR19" i="2"/>
  <c r="BE18" i="2"/>
  <c r="BJ17" i="2" s="1"/>
  <c r="AZ18" i="2"/>
  <c r="AY18" i="2" s="1"/>
  <c r="AY37" i="2" s="1"/>
  <c r="BA37" i="2" s="1"/>
  <c r="AT18" i="2"/>
  <c r="W17" i="2"/>
  <c r="U14" i="2"/>
  <c r="N13" i="2"/>
  <c r="Q11" i="2" s="1"/>
  <c r="K13" i="2"/>
  <c r="BH12" i="2"/>
  <c r="BD12" i="2"/>
  <c r="BA12" i="2"/>
  <c r="AX12" i="2"/>
  <c r="U12" i="2"/>
  <c r="BA11" i="2"/>
  <c r="AX11" i="2"/>
  <c r="BA10" i="2"/>
  <c r="AX10" i="2"/>
  <c r="AC10" i="2"/>
  <c r="U10" i="2"/>
  <c r="Q10" i="2"/>
  <c r="U8" i="2"/>
  <c r="BC18" i="4" l="1"/>
  <c r="P18" i="4" s="1"/>
  <c r="AV18" i="4"/>
  <c r="AW18" i="4" s="1"/>
  <c r="BA18" i="4"/>
  <c r="N18" i="4" s="1"/>
  <c r="L33" i="4"/>
  <c r="L43" i="4" s="1"/>
  <c r="N33" i="4"/>
  <c r="N43" i="4" s="1"/>
  <c r="BA13" i="2"/>
  <c r="AY39" i="2" s="1"/>
  <c r="L39" i="2" s="1"/>
  <c r="N39" i="2" s="1"/>
  <c r="AY29" i="2"/>
  <c r="L29" i="2" s="1"/>
  <c r="AY34" i="2"/>
  <c r="BA34" i="2" s="1"/>
  <c r="AH20" i="2"/>
  <c r="P43" i="2"/>
  <c r="BD10" i="2"/>
  <c r="AX13" i="2"/>
  <c r="BC29" i="2"/>
  <c r="BK42" i="2"/>
  <c r="BE42" i="2"/>
  <c r="AY36" i="2"/>
  <c r="U24" i="2"/>
  <c r="Q13" i="2"/>
  <c r="BC24" i="2"/>
  <c r="BC33" i="2"/>
  <c r="BP10" i="2"/>
  <c r="BA39" i="2" l="1"/>
  <c r="BK39" i="2" s="1"/>
  <c r="BA40" i="2"/>
  <c r="BK40" i="2" s="1"/>
  <c r="AV20" i="2"/>
  <c r="AW20" i="2" s="1"/>
  <c r="I20" i="2" s="1"/>
  <c r="AY40" i="2"/>
  <c r="L40" i="2" s="1"/>
  <c r="N40" i="2" s="1"/>
  <c r="BC20" i="2"/>
  <c r="P20" i="2" s="1"/>
  <c r="AY41" i="2"/>
  <c r="L41" i="2" s="1"/>
  <c r="N41" i="2" s="1"/>
  <c r="BA41" i="2"/>
  <c r="BK41" i="2" s="1"/>
  <c r="AY38" i="4"/>
  <c r="I18" i="4"/>
  <c r="BC43" i="2"/>
  <c r="BH24" i="2"/>
  <c r="BU20" i="2"/>
  <c r="BQ17" i="2"/>
  <c r="P29" i="2"/>
  <c r="AD17" i="2" s="1"/>
  <c r="BE41" i="2"/>
  <c r="BO29" i="2"/>
  <c r="BQ30" i="2" s="1"/>
  <c r="AY27" i="2"/>
  <c r="BC19" i="2"/>
  <c r="AV19" i="2"/>
  <c r="AW19" i="2" s="1"/>
  <c r="I19" i="2" s="1"/>
  <c r="BD13" i="2"/>
  <c r="AY30" i="2"/>
  <c r="L30" i="2" s="1"/>
  <c r="BC28" i="2"/>
  <c r="AY26" i="2"/>
  <c r="L26" i="2" s="1"/>
  <c r="BA36" i="2"/>
  <c r="L36" i="2"/>
  <c r="BC44" i="2"/>
  <c r="BD11" i="2"/>
  <c r="BA38" i="4" l="1"/>
  <c r="BA33" i="4" s="1"/>
  <c r="BA43" i="4" s="1"/>
  <c r="AY33" i="4"/>
  <c r="BC18" i="2"/>
  <c r="P18" i="2" s="1"/>
  <c r="AV18" i="2"/>
  <c r="AW18" i="2" s="1"/>
  <c r="L27" i="2"/>
  <c r="AY28" i="2"/>
  <c r="L28" i="2" s="1"/>
  <c r="AD30" i="2"/>
  <c r="BS30" i="2"/>
  <c r="AF30" i="2" s="1"/>
  <c r="BE44" i="2"/>
  <c r="P44" i="2"/>
  <c r="P28" i="2"/>
  <c r="AC14" i="2" s="1"/>
  <c r="BP14" i="2"/>
  <c r="BE40" i="2"/>
  <c r="BO28" i="2"/>
  <c r="BQ29" i="2" s="1"/>
  <c r="N36" i="2"/>
  <c r="N33" i="2" s="1"/>
  <c r="N43" i="2" s="1"/>
  <c r="L33" i="2"/>
  <c r="L43" i="2" s="1"/>
  <c r="P19" i="2"/>
  <c r="BA19" i="2"/>
  <c r="N19" i="2" s="1"/>
  <c r="AY43" i="4" l="1"/>
  <c r="AY44" i="4"/>
  <c r="BA18" i="2"/>
  <c r="N18" i="2" s="1"/>
  <c r="AD29" i="2"/>
  <c r="BS29" i="2"/>
  <c r="AF29" i="2" s="1"/>
  <c r="X41" i="2" s="1"/>
  <c r="AY38" i="2"/>
  <c r="I18" i="2"/>
  <c r="BO22" i="2"/>
  <c r="BQ25" i="2" s="1"/>
  <c r="BE39" i="2"/>
  <c r="BL6" i="2"/>
  <c r="R44" i="2"/>
  <c r="Y6" i="2" s="1"/>
  <c r="BA44" i="4" l="1"/>
  <c r="N44" i="4" s="1"/>
  <c r="L44" i="4"/>
  <c r="BA38" i="2"/>
  <c r="BA33" i="2" s="1"/>
  <c r="BA43" i="2" s="1"/>
  <c r="AY33" i="2"/>
  <c r="BE38" i="2"/>
  <c r="BE37" i="2" s="1"/>
  <c r="BE36" i="2" s="1"/>
  <c r="BE35" i="2" s="1"/>
  <c r="BE34" i="2" s="1"/>
  <c r="BO21" i="2"/>
  <c r="BQ22" i="2" s="1"/>
  <c r="BS25" i="2"/>
  <c r="AF25" i="2" s="1"/>
  <c r="X40" i="2" s="1"/>
  <c r="AD25" i="2"/>
  <c r="BS22" i="2" l="1"/>
  <c r="AF22" i="2" s="1"/>
  <c r="X39" i="2" s="1"/>
  <c r="AD22" i="2"/>
  <c r="AY43" i="2"/>
  <c r="AY44" i="2"/>
  <c r="BA44" i="2" l="1"/>
  <c r="N44" i="2" s="1"/>
  <c r="L44" i="2"/>
</calcChain>
</file>

<file path=xl/sharedStrings.xml><?xml version="1.0" encoding="utf-8"?>
<sst xmlns="http://schemas.openxmlformats.org/spreadsheetml/2006/main" count="620" uniqueCount="146">
  <si>
    <t xml:space="preserve">Vertical Drum Separator Calculation Sheet (with Demister)   </t>
    <phoneticPr fontId="0" type="noConversion"/>
  </si>
  <si>
    <t>Item No. &amp; Service Name ;</t>
    <phoneticPr fontId="0" type="noConversion"/>
  </si>
  <si>
    <t xml:space="preserve">  Prepared by </t>
    <phoneticPr fontId="0" type="noConversion"/>
  </si>
  <si>
    <t>Page</t>
    <phoneticPr fontId="0" type="noConversion"/>
  </si>
  <si>
    <t>Project No. ;</t>
    <phoneticPr fontId="0" type="noConversion"/>
  </si>
  <si>
    <t xml:space="preserve">  Date </t>
    <phoneticPr fontId="0" type="noConversion"/>
  </si>
  <si>
    <t>of</t>
    <phoneticPr fontId="0" type="noConversion"/>
  </si>
  <si>
    <t xml:space="preserve"> Project No. ;</t>
    <phoneticPr fontId="0" type="noConversion"/>
  </si>
  <si>
    <t>3     of     3</t>
    <phoneticPr fontId="0" type="noConversion"/>
  </si>
  <si>
    <t>1. Process data</t>
    <phoneticPr fontId="0" type="noConversion"/>
  </si>
  <si>
    <t xml:space="preserve"> Total volume:</t>
    <phoneticPr fontId="0" type="noConversion"/>
  </si>
  <si>
    <t>ft3</t>
    <phoneticPr fontId="0" type="noConversion"/>
  </si>
  <si>
    <t>NOTES</t>
    <phoneticPr fontId="0" type="noConversion"/>
  </si>
  <si>
    <t>m3</t>
    <phoneticPr fontId="0" type="noConversion"/>
  </si>
  <si>
    <t>Operating pressure</t>
    <phoneticPr fontId="0" type="noConversion"/>
  </si>
  <si>
    <t>psig</t>
    <phoneticPr fontId="0" type="noConversion"/>
  </si>
  <si>
    <t>kPag</t>
    <phoneticPr fontId="0" type="noConversion"/>
  </si>
  <si>
    <t>Operating temperature</t>
    <phoneticPr fontId="0" type="noConversion"/>
  </si>
  <si>
    <r>
      <t>o</t>
    </r>
    <r>
      <rPr>
        <sz val="12"/>
        <rFont val="Arial"/>
        <family val="2"/>
      </rPr>
      <t>F</t>
    </r>
  </si>
  <si>
    <t>inch gas out</t>
    <phoneticPr fontId="0" type="noConversion"/>
  </si>
  <si>
    <r>
      <t>o</t>
    </r>
    <r>
      <rPr>
        <sz val="12"/>
        <rFont val="Arial"/>
        <family val="2"/>
      </rPr>
      <t>C</t>
    </r>
  </si>
  <si>
    <t>1. Assumed value.</t>
    <phoneticPr fontId="0" type="noConversion"/>
  </si>
  <si>
    <t>gas</t>
  </si>
  <si>
    <t>liquid</t>
  </si>
  <si>
    <t>mixture (Design)</t>
    <phoneticPr fontId="0" type="noConversion"/>
  </si>
  <si>
    <t>Weight flow</t>
    <phoneticPr fontId="0" type="noConversion"/>
  </si>
  <si>
    <t>lb/hr</t>
    <phoneticPr fontId="0" type="noConversion"/>
  </si>
  <si>
    <t>kg/hr</t>
  </si>
  <si>
    <t>Density</t>
    <phoneticPr fontId="0" type="noConversion"/>
  </si>
  <si>
    <t>lb/ft3</t>
    <phoneticPr fontId="0" type="noConversion"/>
  </si>
  <si>
    <t>kg/m3</t>
  </si>
  <si>
    <t>Design Margin</t>
    <phoneticPr fontId="0" type="noConversion"/>
  </si>
  <si>
    <t>%</t>
    <phoneticPr fontId="0" type="noConversion"/>
  </si>
  <si>
    <t>-</t>
    <phoneticPr fontId="0" type="noConversion"/>
  </si>
  <si>
    <t>Design Volumetric flow</t>
    <phoneticPr fontId="0" type="noConversion"/>
  </si>
  <si>
    <t>ft3/h</t>
    <phoneticPr fontId="0" type="noConversion"/>
  </si>
  <si>
    <t>m3/h</t>
  </si>
  <si>
    <t>2. Nozzle design</t>
    <phoneticPr fontId="0" type="noConversion"/>
  </si>
  <si>
    <t>, vapor</t>
    <phoneticPr fontId="0" type="noConversion"/>
  </si>
  <si>
    <t>Sizing Basis</t>
    <phoneticPr fontId="0" type="noConversion"/>
  </si>
  <si>
    <t>Nozzle Sizing</t>
    <phoneticPr fontId="0" type="noConversion"/>
  </si>
  <si>
    <t>ρv²</t>
    <phoneticPr fontId="0" type="noConversion"/>
  </si>
  <si>
    <t>Velocity</t>
    <phoneticPr fontId="0" type="noConversion"/>
  </si>
  <si>
    <t>min. ID</t>
    <phoneticPr fontId="0" type="noConversion"/>
  </si>
  <si>
    <t>Selected ID</t>
  </si>
  <si>
    <t xml:space="preserve">Cal. ρv² </t>
    <phoneticPr fontId="0" type="noConversion"/>
  </si>
  <si>
    <t>Cal. Vel</t>
    <phoneticPr fontId="0" type="noConversion"/>
  </si>
  <si>
    <t>Selected ND</t>
  </si>
  <si>
    <t>(lb/ft-s²)</t>
    <phoneticPr fontId="0" type="noConversion"/>
  </si>
  <si>
    <t>(ft/s)</t>
    <phoneticPr fontId="0" type="noConversion"/>
  </si>
  <si>
    <t>(inch)</t>
    <phoneticPr fontId="0" type="noConversion"/>
  </si>
  <si>
    <t>inch</t>
    <phoneticPr fontId="0" type="noConversion"/>
  </si>
  <si>
    <t>(kg/m-s²)</t>
    <phoneticPr fontId="0" type="noConversion"/>
  </si>
  <si>
    <t>(m/s)</t>
    <phoneticPr fontId="0" type="noConversion"/>
  </si>
  <si>
    <t>(mm)</t>
    <phoneticPr fontId="0" type="noConversion"/>
  </si>
  <si>
    <t xml:space="preserve">  </t>
    <phoneticPr fontId="0" type="noConversion"/>
  </si>
  <si>
    <t>Inlet mixture</t>
    <phoneticPr fontId="0" type="noConversion"/>
  </si>
  <si>
    <t>Feed nozzle</t>
    <phoneticPr fontId="0" type="noConversion"/>
  </si>
  <si>
    <t>liquid droplet</t>
    <phoneticPr fontId="0" type="noConversion"/>
  </si>
  <si>
    <t>Outlet gas</t>
    <phoneticPr fontId="0" type="noConversion"/>
  </si>
  <si>
    <t>Outlet liquid</t>
    <phoneticPr fontId="0" type="noConversion"/>
  </si>
  <si>
    <t>Holding</t>
    <phoneticPr fontId="0" type="noConversion"/>
  </si>
  <si>
    <t>3. Diameter for vapor section with demister</t>
    <phoneticPr fontId="0" type="noConversion"/>
  </si>
  <si>
    <t>HHLL</t>
    <phoneticPr fontId="0" type="noConversion"/>
  </si>
  <si>
    <t>V (ft³)</t>
    <phoneticPr fontId="0" type="noConversion"/>
  </si>
  <si>
    <t>t (min)</t>
    <phoneticPr fontId="0" type="noConversion"/>
  </si>
  <si>
    <t>V (m³)</t>
    <phoneticPr fontId="0" type="noConversion"/>
  </si>
  <si>
    <t>Recommend</t>
    <phoneticPr fontId="0" type="noConversion"/>
  </si>
  <si>
    <t>Selected</t>
    <phoneticPr fontId="0" type="noConversion"/>
  </si>
  <si>
    <t>HLL</t>
    <phoneticPr fontId="0" type="noConversion"/>
  </si>
  <si>
    <t xml:space="preserve">Velocity constant, K 
(reference only, for Vc) </t>
    <phoneticPr fontId="0" type="noConversion"/>
  </si>
  <si>
    <t>ft/s</t>
    <phoneticPr fontId="0" type="noConversion"/>
  </si>
  <si>
    <t>m/s</t>
    <phoneticPr fontId="0" type="noConversion"/>
  </si>
  <si>
    <t>0.18~0.35</t>
  </si>
  <si>
    <t>0.06~0.08</t>
  </si>
  <si>
    <t>`</t>
    <phoneticPr fontId="0" type="noConversion"/>
  </si>
  <si>
    <t>Demister constant, Kd</t>
    <phoneticPr fontId="0" type="noConversion"/>
  </si>
  <si>
    <t>Over sizing (for diameter)</t>
    <phoneticPr fontId="0" type="noConversion"/>
  </si>
  <si>
    <t>%</t>
  </si>
  <si>
    <t>&lt; 30</t>
    <phoneticPr fontId="0" type="noConversion"/>
  </si>
  <si>
    <t>NLL</t>
    <phoneticPr fontId="0" type="noConversion"/>
  </si>
  <si>
    <t>Demister diameter</t>
    <phoneticPr fontId="0" type="noConversion"/>
  </si>
  <si>
    <t>ft</t>
    <phoneticPr fontId="0" type="noConversion"/>
  </si>
  <si>
    <t>mm</t>
  </si>
  <si>
    <t>mm</t>
    <phoneticPr fontId="0" type="noConversion"/>
  </si>
  <si>
    <t>Drum diameter</t>
    <phoneticPr fontId="0" type="noConversion"/>
  </si>
  <si>
    <t>Ud, designed velocity of vapor</t>
    <phoneticPr fontId="0" type="noConversion"/>
  </si>
  <si>
    <t>m/s</t>
  </si>
  <si>
    <t>LLL</t>
    <phoneticPr fontId="0" type="noConversion"/>
  </si>
  <si>
    <r>
      <t>Vc, critical velocity of</t>
    </r>
    <r>
      <rPr>
        <sz val="12"/>
        <color indexed="10"/>
        <rFont val="Arial"/>
        <family val="2"/>
      </rPr>
      <t xml:space="preserve"> vapor</t>
    </r>
  </si>
  <si>
    <t>LLLL</t>
    <phoneticPr fontId="0" type="noConversion"/>
  </si>
  <si>
    <t>Drum dia.(reference only, without demister)</t>
    <phoneticPr fontId="0" type="noConversion"/>
  </si>
  <si>
    <t>T.L</t>
  </si>
  <si>
    <t>4. Vessel Height</t>
    <phoneticPr fontId="0" type="noConversion"/>
  </si>
  <si>
    <t>calcul</t>
    <phoneticPr fontId="0" type="noConversion"/>
  </si>
  <si>
    <t>Recomm.</t>
    <phoneticPr fontId="0" type="noConversion"/>
  </si>
  <si>
    <t>Total height</t>
    <phoneticPr fontId="0" type="noConversion"/>
  </si>
  <si>
    <t>inch liq. out</t>
    <phoneticPr fontId="0" type="noConversion"/>
  </si>
  <si>
    <t>Top TL-Demister top</t>
  </si>
  <si>
    <t xml:space="preserve">  : Input of General and Process Data</t>
    <phoneticPr fontId="0" type="noConversion"/>
  </si>
  <si>
    <t>Top TL-Demister</t>
    <phoneticPr fontId="0" type="noConversion"/>
  </si>
  <si>
    <t>Demister thickness</t>
    <phoneticPr fontId="0" type="noConversion"/>
  </si>
  <si>
    <t>NOTE1</t>
    <phoneticPr fontId="0" type="noConversion"/>
  </si>
  <si>
    <t xml:space="preserve">   : Trial and error calculation to meet minimum requirement of Project specification</t>
  </si>
  <si>
    <t xml:space="preserve">   : Trial and error calculation to meet minimum requirement of 
      Project specification</t>
    <phoneticPr fontId="0" type="noConversion"/>
  </si>
  <si>
    <t>Demister bottom-top of inlet nozzle</t>
  </si>
  <si>
    <t>Demister-top of inlet nozzle</t>
    <phoneticPr fontId="0" type="noConversion"/>
  </si>
  <si>
    <t>Inlet nozzle diameter</t>
    <phoneticPr fontId="0" type="noConversion"/>
  </si>
  <si>
    <t>Btm of inlet nozzle - HHLL</t>
    <phoneticPr fontId="0" type="noConversion"/>
  </si>
  <si>
    <t>Min. requirement (Process Design Basis)</t>
    <phoneticPr fontId="0" type="noConversion"/>
  </si>
  <si>
    <t>HHLL- HLL (holding time)</t>
    <phoneticPr fontId="0" type="noConversion"/>
  </si>
  <si>
    <t>min.</t>
    <phoneticPr fontId="0" type="noConversion"/>
  </si>
  <si>
    <t xml:space="preserve">  HHLL~HLL</t>
    <phoneticPr fontId="0" type="noConversion"/>
  </si>
  <si>
    <t>1 minute (minimum 150mm)</t>
  </si>
  <si>
    <t>HLL-LLL (holding time)</t>
    <phoneticPr fontId="0" type="noConversion"/>
  </si>
  <si>
    <t xml:space="preserve">  HLL~LLL</t>
    <phoneticPr fontId="0" type="noConversion"/>
  </si>
  <si>
    <t>3 minutes (minimum 300mm)</t>
    <phoneticPr fontId="0" type="noConversion"/>
  </si>
  <si>
    <t>LLL- LLLL (holding time)</t>
    <phoneticPr fontId="0" type="noConversion"/>
  </si>
  <si>
    <t xml:space="preserve">  LLL~LLLL</t>
    <phoneticPr fontId="0" type="noConversion"/>
  </si>
  <si>
    <t>0.5 minute (minimum 150mm)</t>
    <phoneticPr fontId="0" type="noConversion"/>
  </si>
  <si>
    <t>LLLL-BOV</t>
    <phoneticPr fontId="0" type="noConversion"/>
  </si>
  <si>
    <t xml:space="preserve">  LLLL~btm TL</t>
    <phoneticPr fontId="0" type="noConversion"/>
  </si>
  <si>
    <t>minimum 12 inch</t>
    <phoneticPr fontId="0" type="noConversion"/>
  </si>
  <si>
    <t>minimum 200mm</t>
  </si>
  <si>
    <t>5. Vessel</t>
    <phoneticPr fontId="0" type="noConversion"/>
  </si>
  <si>
    <t>L/D ratio</t>
    <phoneticPr fontId="0" type="noConversion"/>
  </si>
  <si>
    <t>Volume (Shell / Shell+Head)</t>
    <phoneticPr fontId="0" type="noConversion"/>
  </si>
  <si>
    <t>Inlet mixture nozzle</t>
    <phoneticPr fontId="0" type="noConversion"/>
  </si>
  <si>
    <r>
      <t>criteria 1000 -&gt; 4000</t>
    </r>
    <r>
      <rPr>
        <sz val="12"/>
        <rFont val="돋움"/>
        <family val="3"/>
        <charset val="129"/>
      </rPr>
      <t>로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변경</t>
    </r>
  </si>
  <si>
    <r>
      <t>size 20 -&gt; 14</t>
    </r>
    <r>
      <rPr>
        <sz val="12"/>
        <rFont val="돋움"/>
        <family val="3"/>
        <charset val="129"/>
      </rPr>
      <t>로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변경</t>
    </r>
  </si>
  <si>
    <t xml:space="preserve">outlet gas nozzle </t>
    <phoneticPr fontId="0" type="noConversion"/>
  </si>
  <si>
    <r>
      <t>size 18 -&gt; 16</t>
    </r>
    <r>
      <rPr>
        <sz val="12"/>
        <rFont val="돋움"/>
        <family val="3"/>
        <charset val="129"/>
      </rPr>
      <t>으로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변경</t>
    </r>
  </si>
  <si>
    <t>Provision of FEED Consultant Services on Small Scale Geothermal Power Plant Dieng</t>
  </si>
  <si>
    <t>Diameter</t>
  </si>
  <si>
    <t>m</t>
  </si>
  <si>
    <t>Height</t>
  </si>
  <si>
    <t>2 minute (minimum 6 inch)</t>
  </si>
  <si>
    <t>6 minutes (minimum 12 inch)</t>
  </si>
  <si>
    <t>kg/ms2</t>
  </si>
  <si>
    <t>lb/fts2</t>
  </si>
  <si>
    <t>Inlet</t>
  </si>
  <si>
    <t>Liquid outlet</t>
  </si>
  <si>
    <t>Gas outlet</t>
  </si>
  <si>
    <t>ft/s</t>
  </si>
  <si>
    <t>Scrubber (V-200)</t>
  </si>
  <si>
    <t>Demister (V-201)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</si>
</sst>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0.0"/>
    <numFmt numFmtId="165" formatCode="0.0_ "/>
    <numFmt numFmtId="166" formatCode="0.0_);[Red]\(0.0\)"/>
    <numFmt numFmtId="167" formatCode="0&quot; ''&quot;"/>
    <numFmt numFmtId="168" formatCode="0.0&quot; ft&quot;"/>
    <numFmt numFmtId="169" formatCode="0_);[Red]\(0\)"/>
    <numFmt numFmtId="170" formatCode="0.00_);[Red]\(0.00\)"/>
    <numFmt numFmtId="171" formatCode="#,##0.000000_);[Red]\(#,##0.000000\)"/>
    <numFmt numFmtId="172" formatCode="0_ "/>
    <numFmt numFmtId="173" formatCode="0.00&quot;m/s, vapor&quot;"/>
    <numFmt numFmtId="174" formatCode="0.00&quot;ft/s&quot;"/>
    <numFmt numFmtId="175" formatCode="0.00&quot;m/s&quot;"/>
    <numFmt numFmtId="176" formatCode="0.0000_ "/>
    <numFmt numFmtId="178" formatCode="0;_ﰀ"/>
    <numFmt numFmtId="179" formatCode="0;_砀"/>
    <numFmt numFmtId="180" formatCode="0.0&quot; ft &quot;"/>
    <numFmt numFmtId="181" formatCode="#,##0&quot; &quot;"/>
    <numFmt numFmtId="182" formatCode="0.000000000_ "/>
    <numFmt numFmtId="183" formatCode="0.00000000000000_ "/>
    <numFmt numFmtId="184" formatCode="&quot;min.&quot;0.00&quot;m&quot;"/>
    <numFmt numFmtId="185" formatCode="#,##0.000"/>
  </numFmts>
  <fonts count="32">
    <font>
      <sz val="12"/>
      <name val="바탕체"/>
      <family val="1"/>
      <charset val="129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0"/>
      <name val="Arial"/>
      <family val="2"/>
    </font>
    <font>
      <vertAlign val="superscript"/>
      <sz val="12"/>
      <name val="Arial"/>
      <family val="2"/>
    </font>
    <font>
      <sz val="10"/>
      <color indexed="10"/>
      <name val="Arial"/>
      <family val="2"/>
    </font>
    <font>
      <sz val="12"/>
      <name val="돋움체"/>
      <family val="3"/>
      <charset val="129"/>
    </font>
    <font>
      <sz val="11"/>
      <name val="Arial"/>
      <family val="2"/>
    </font>
    <font>
      <sz val="11"/>
      <color indexed="10"/>
      <name val="Arial"/>
      <family val="2"/>
    </font>
    <font>
      <sz val="11"/>
      <color indexed="10"/>
      <name val="바탕체"/>
      <family val="1"/>
      <charset val="129"/>
    </font>
    <font>
      <sz val="11"/>
      <name val="바탕체"/>
      <family val="1"/>
      <charset val="129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  <font>
      <sz val="12"/>
      <color indexed="48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1"/>
      <color indexed="9"/>
      <name val="Arial"/>
      <family val="2"/>
    </font>
    <font>
      <b/>
      <sz val="12"/>
      <color indexed="10"/>
      <name val="Arial"/>
      <family val="2"/>
    </font>
    <font>
      <i/>
      <sz val="10"/>
      <color indexed="12"/>
      <name val="Arial"/>
      <family val="2"/>
    </font>
    <font>
      <b/>
      <u/>
      <sz val="11"/>
      <name val="Arial"/>
      <family val="2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9"/>
      <color indexed="12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7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" fontId="5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centerContinuous" vertical="center"/>
    </xf>
    <xf numFmtId="0" fontId="2" fillId="0" borderId="34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172" fontId="2" fillId="0" borderId="0" xfId="0" applyNumberFormat="1" applyFont="1" applyBorder="1" applyAlignment="1">
      <alignment vertical="center"/>
    </xf>
    <xf numFmtId="173" fontId="5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75" fontId="5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5" fillId="0" borderId="25" xfId="1" applyFont="1" applyBorder="1" applyAlignment="1">
      <alignment horizontal="right" vertical="center"/>
    </xf>
    <xf numFmtId="0" fontId="5" fillId="0" borderId="26" xfId="1" applyFont="1" applyBorder="1" applyAlignment="1" applyProtection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1" fontId="12" fillId="0" borderId="31" xfId="1" applyNumberFormat="1" applyFont="1" applyFill="1" applyBorder="1" applyAlignment="1">
      <alignment vertical="center"/>
    </xf>
    <xf numFmtId="178" fontId="17" fillId="3" borderId="0" xfId="1" applyNumberFormat="1" applyFont="1" applyFill="1" applyAlignment="1" applyProtection="1">
      <alignment vertical="center"/>
    </xf>
    <xf numFmtId="165" fontId="12" fillId="3" borderId="32" xfId="1" applyNumberFormat="1" applyFont="1" applyFill="1" applyBorder="1" applyAlignment="1">
      <alignment vertical="center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Continuous" vertical="center"/>
    </xf>
    <xf numFmtId="0" fontId="2" fillId="0" borderId="34" xfId="0" quotePrefix="1" applyFont="1" applyBorder="1" applyAlignment="1">
      <alignment horizontal="left" vertical="center"/>
    </xf>
    <xf numFmtId="0" fontId="2" fillId="0" borderId="21" xfId="0" quotePrefix="1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164" fontId="12" fillId="0" borderId="20" xfId="1" applyNumberFormat="1" applyFont="1" applyFill="1" applyBorder="1" applyAlignment="1">
      <alignment vertical="center"/>
    </xf>
    <xf numFmtId="165" fontId="12" fillId="3" borderId="35" xfId="1" applyNumberFormat="1" applyFont="1" applyFill="1" applyBorder="1" applyAlignment="1">
      <alignment vertical="center"/>
    </xf>
    <xf numFmtId="167" fontId="2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Continuous" vertical="center"/>
    </xf>
    <xf numFmtId="0" fontId="2" fillId="0" borderId="32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7" fontId="20" fillId="0" borderId="0" xfId="0" applyNumberFormat="1" applyFont="1" applyBorder="1" applyAlignment="1">
      <alignment horizontal="center"/>
    </xf>
    <xf numFmtId="3" fontId="20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5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vertical="center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1" applyFont="1" applyBorder="1" applyAlignment="1" applyProtection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5" fillId="0" borderId="21" xfId="0" applyFont="1" applyBorder="1" applyAlignment="1" applyProtection="1">
      <alignment horizontal="left" vertical="center"/>
    </xf>
    <xf numFmtId="0" fontId="5" fillId="0" borderId="21" xfId="0" applyFont="1" applyBorder="1" applyAlignment="1" applyProtection="1">
      <alignment vertical="center"/>
    </xf>
    <xf numFmtId="0" fontId="2" fillId="0" borderId="21" xfId="0" applyFont="1" applyBorder="1" applyAlignment="1" applyProtection="1">
      <alignment vertical="center"/>
    </xf>
    <xf numFmtId="0" fontId="2" fillId="0" borderId="22" xfId="0" applyFont="1" applyBorder="1" applyAlignment="1">
      <alignment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7" fillId="0" borderId="0" xfId="0" applyFont="1" applyBorder="1" applyAlignment="1">
      <alignment vertical="center"/>
    </xf>
    <xf numFmtId="3" fontId="12" fillId="0" borderId="0" xfId="0" quotePrefix="1" applyNumberFormat="1" applyFont="1" applyBorder="1" applyAlignment="1" applyProtection="1">
      <alignment horizontal="left" vertical="center"/>
    </xf>
    <xf numFmtId="3" fontId="12" fillId="0" borderId="0" xfId="0" applyNumberFormat="1" applyFont="1" applyBorder="1" applyAlignment="1" applyProtection="1">
      <alignment vertical="center"/>
    </xf>
    <xf numFmtId="3" fontId="2" fillId="0" borderId="0" xfId="0" applyNumberFormat="1" applyFont="1" applyBorder="1" applyAlignment="1" applyProtection="1">
      <alignment vertical="center"/>
    </xf>
    <xf numFmtId="3" fontId="2" fillId="0" borderId="5" xfId="0" applyNumberFormat="1" applyFont="1" applyBorder="1" applyAlignment="1" applyProtection="1">
      <alignment vertical="center"/>
    </xf>
    <xf numFmtId="2" fontId="2" fillId="0" borderId="2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" fontId="12" fillId="0" borderId="4" xfId="0" applyNumberFormat="1" applyFont="1" applyFill="1" applyBorder="1" applyAlignment="1">
      <alignment horizontal="left" vertical="center"/>
    </xf>
    <xf numFmtId="3" fontId="2" fillId="0" borderId="0" xfId="0" applyNumberFormat="1" applyFont="1" applyBorder="1" applyAlignment="1">
      <alignment horizontal="left"/>
    </xf>
    <xf numFmtId="0" fontId="2" fillId="0" borderId="0" xfId="0" applyFont="1" applyBorder="1" applyAlignment="1" applyProtection="1">
      <alignment horizontal="left" vertical="center"/>
    </xf>
    <xf numFmtId="0" fontId="2" fillId="0" borderId="34" xfId="0" applyFont="1" applyBorder="1" applyAlignment="1">
      <alignment horizontal="left" vertical="center"/>
    </xf>
    <xf numFmtId="1" fontId="12" fillId="0" borderId="34" xfId="0" applyNumberFormat="1" applyFont="1" applyFill="1" applyBorder="1" applyAlignment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1" xfId="0" quotePrefix="1" applyFont="1" applyBorder="1" applyAlignment="1" applyProtection="1">
      <alignment horizontal="left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Border="1" applyAlignment="1" applyProtection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2" fillId="0" borderId="0" xfId="1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2" fillId="0" borderId="0" xfId="1" quotePrefix="1" applyFont="1" applyBorder="1" applyAlignment="1" applyProtection="1">
      <alignment vertical="center"/>
    </xf>
    <xf numFmtId="0" fontId="7" fillId="0" borderId="0" xfId="1" applyFont="1" applyBorder="1" applyAlignment="1" applyProtection="1">
      <alignment vertical="center"/>
    </xf>
    <xf numFmtId="0" fontId="2" fillId="0" borderId="0" xfId="0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 applyProtection="1">
      <alignment vertical="center"/>
    </xf>
    <xf numFmtId="3" fontId="12" fillId="0" borderId="0" xfId="1" applyNumberFormat="1" applyFont="1" applyBorder="1" applyAlignment="1">
      <alignment horizontal="left"/>
    </xf>
    <xf numFmtId="0" fontId="12" fillId="0" borderId="0" xfId="1" applyFont="1" applyBorder="1" applyAlignment="1" applyProtection="1">
      <alignment vertical="center"/>
    </xf>
    <xf numFmtId="0" fontId="30" fillId="0" borderId="0" xfId="0" applyFont="1" applyBorder="1" applyAlignment="1">
      <alignment vertical="center"/>
    </xf>
    <xf numFmtId="0" fontId="12" fillId="6" borderId="0" xfId="1" applyFont="1" applyFill="1" applyBorder="1" applyAlignment="1" applyProtection="1">
      <alignment vertical="center"/>
    </xf>
    <xf numFmtId="0" fontId="30" fillId="0" borderId="0" xfId="0" quotePrefix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/>
    <xf numFmtId="0" fontId="2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center" vertical="center"/>
    </xf>
    <xf numFmtId="1" fontId="21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85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center" vertical="center"/>
    </xf>
    <xf numFmtId="1" fontId="21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6" xfId="0" applyFon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2" borderId="15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vertical="center"/>
    </xf>
    <xf numFmtId="166" fontId="8" fillId="2" borderId="25" xfId="0" applyNumberFormat="1" applyFont="1" applyFill="1" applyBorder="1" applyAlignment="1" applyProtection="1">
      <alignment horizontal="center" vertical="center"/>
      <protection locked="0"/>
    </xf>
    <xf numFmtId="166" fontId="8" fillId="2" borderId="26" xfId="0" applyNumberFormat="1" applyFont="1" applyFill="1" applyBorder="1" applyAlignment="1" applyProtection="1">
      <alignment horizontal="center" vertical="center"/>
      <protection locked="0"/>
    </xf>
    <xf numFmtId="166" fontId="8" fillId="2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165" fontId="8" fillId="2" borderId="23" xfId="0" applyNumberFormat="1" applyFont="1" applyFill="1" applyBorder="1" applyAlignment="1" applyProtection="1">
      <alignment horizontal="center" vertical="center"/>
      <protection locked="0"/>
    </xf>
    <xf numFmtId="165" fontId="8" fillId="2" borderId="13" xfId="0" applyNumberFormat="1" applyFont="1" applyFill="1" applyBorder="1" applyAlignment="1" applyProtection="1">
      <alignment horizontal="center" vertical="center"/>
      <protection locked="0"/>
    </xf>
    <xf numFmtId="165" fontId="8" fillId="2" borderId="24" xfId="0" applyNumberFormat="1" applyFont="1" applyFill="1" applyBorder="1" applyAlignment="1" applyProtection="1">
      <alignment horizontal="center" vertical="center"/>
      <protection locked="0"/>
    </xf>
    <xf numFmtId="38" fontId="8" fillId="2" borderId="23" xfId="0" applyNumberFormat="1" applyFont="1" applyFill="1" applyBorder="1" applyAlignment="1">
      <alignment horizontal="center" vertical="center"/>
    </xf>
    <xf numFmtId="38" fontId="8" fillId="2" borderId="13" xfId="0" applyNumberFormat="1" applyFont="1" applyFill="1" applyBorder="1" applyAlignment="1">
      <alignment horizontal="center" vertical="center"/>
    </xf>
    <xf numFmtId="38" fontId="8" fillId="2" borderId="14" xfId="0" applyNumberFormat="1" applyFont="1" applyFill="1" applyBorder="1" applyAlignment="1">
      <alignment horizontal="center" vertical="center"/>
    </xf>
    <xf numFmtId="38" fontId="2" fillId="0" borderId="23" xfId="0" applyNumberFormat="1" applyFont="1" applyBorder="1" applyAlignment="1">
      <alignment horizontal="center"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24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/>
    </xf>
    <xf numFmtId="40" fontId="8" fillId="2" borderId="31" xfId="0" applyNumberFormat="1" applyFont="1" applyFill="1" applyBorder="1" applyAlignment="1">
      <alignment horizontal="center" vertical="center"/>
    </xf>
    <xf numFmtId="40" fontId="8" fillId="2" borderId="0" xfId="0" applyNumberFormat="1" applyFont="1" applyFill="1" applyBorder="1" applyAlignment="1">
      <alignment vertical="center"/>
    </xf>
    <xf numFmtId="40" fontId="8" fillId="2" borderId="32" xfId="0" applyNumberFormat="1" applyFont="1" applyFill="1" applyBorder="1" applyAlignment="1">
      <alignment vertical="center"/>
    </xf>
    <xf numFmtId="170" fontId="2" fillId="0" borderId="31" xfId="0" applyNumberFormat="1" applyFont="1" applyBorder="1" applyAlignment="1">
      <alignment horizontal="center" vertical="center"/>
    </xf>
    <xf numFmtId="170" fontId="2" fillId="0" borderId="0" xfId="0" applyNumberFormat="1" applyFont="1" applyBorder="1" applyAlignment="1">
      <alignment vertical="center"/>
    </xf>
    <xf numFmtId="170" fontId="2" fillId="0" borderId="5" xfId="0" applyNumberFormat="1" applyFont="1" applyBorder="1" applyAlignment="1">
      <alignment vertical="center"/>
    </xf>
    <xf numFmtId="169" fontId="5" fillId="0" borderId="0" xfId="0" applyNumberFormat="1" applyFont="1" applyBorder="1" applyAlignment="1">
      <alignment horizontal="center" vertical="center"/>
    </xf>
    <xf numFmtId="165" fontId="8" fillId="2" borderId="31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horizontal="center" vertical="center"/>
    </xf>
    <xf numFmtId="165" fontId="8" fillId="2" borderId="32" xfId="0" applyNumberFormat="1" applyFont="1" applyFill="1" applyBorder="1" applyAlignment="1">
      <alignment horizontal="center" vertical="center"/>
    </xf>
    <xf numFmtId="38" fontId="8" fillId="2" borderId="31" xfId="0" applyNumberFormat="1" applyFont="1" applyFill="1" applyBorder="1" applyAlignment="1">
      <alignment horizontal="center" vertical="center"/>
    </xf>
    <xf numFmtId="38" fontId="8" fillId="2" borderId="0" xfId="0" applyNumberFormat="1" applyFont="1" applyFill="1" applyBorder="1" applyAlignment="1">
      <alignment vertical="center"/>
    </xf>
    <xf numFmtId="38" fontId="8" fillId="2" borderId="32" xfId="0" applyNumberFormat="1" applyFont="1" applyFill="1" applyBorder="1" applyAlignment="1">
      <alignment vertical="center"/>
    </xf>
    <xf numFmtId="167" fontId="2" fillId="0" borderId="0" xfId="0" applyNumberFormat="1" applyFont="1" applyBorder="1" applyAlignment="1">
      <alignment horizontal="center" vertical="center"/>
    </xf>
    <xf numFmtId="168" fontId="2" fillId="0" borderId="0" xfId="0" applyNumberFormat="1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38" fontId="8" fillId="2" borderId="25" xfId="0" applyNumberFormat="1" applyFont="1" applyFill="1" applyBorder="1" applyAlignment="1">
      <alignment horizontal="center" vertical="center"/>
    </xf>
    <xf numFmtId="38" fontId="8" fillId="2" borderId="26" xfId="0" applyNumberFormat="1" applyFont="1" applyFill="1" applyBorder="1" applyAlignment="1">
      <alignment horizontal="center" vertical="center"/>
    </xf>
    <xf numFmtId="38" fontId="8" fillId="2" borderId="33" xfId="0" applyNumberFormat="1" applyFont="1" applyFill="1" applyBorder="1" applyAlignment="1">
      <alignment horizontal="center" vertical="center"/>
    </xf>
    <xf numFmtId="170" fontId="2" fillId="0" borderId="25" xfId="0" applyNumberFormat="1" applyFont="1" applyBorder="1" applyAlignment="1">
      <alignment horizontal="center" vertical="center"/>
    </xf>
    <xf numFmtId="170" fontId="2" fillId="0" borderId="26" xfId="0" applyNumberFormat="1" applyFont="1" applyBorder="1" applyAlignment="1">
      <alignment vertical="center"/>
    </xf>
    <xf numFmtId="170" fontId="2" fillId="0" borderId="27" xfId="0" applyNumberFormat="1" applyFont="1" applyBorder="1" applyAlignment="1">
      <alignment vertical="center"/>
    </xf>
    <xf numFmtId="38" fontId="8" fillId="2" borderId="26" xfId="0" applyNumberFormat="1" applyFont="1" applyFill="1" applyBorder="1" applyAlignment="1">
      <alignment vertical="center"/>
    </xf>
    <xf numFmtId="38" fontId="8" fillId="2" borderId="33" xfId="0" applyNumberFormat="1" applyFont="1" applyFill="1" applyBorder="1" applyAlignment="1">
      <alignment vertical="center"/>
    </xf>
    <xf numFmtId="174" fontId="5" fillId="0" borderId="0" xfId="0" applyNumberFormat="1" applyFont="1" applyBorder="1" applyAlignment="1">
      <alignment horizontal="center" vertical="center"/>
    </xf>
    <xf numFmtId="175" fontId="5" fillId="0" borderId="0" xfId="0" applyNumberFormat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center" vertical="center"/>
    </xf>
    <xf numFmtId="38" fontId="2" fillId="0" borderId="21" xfId="0" applyNumberFormat="1" applyFont="1" applyBorder="1" applyAlignment="1">
      <alignment vertical="center"/>
    </xf>
    <xf numFmtId="38" fontId="2" fillId="0" borderId="35" xfId="0" applyNumberFormat="1" applyFont="1" applyBorder="1" applyAlignment="1">
      <alignment vertical="center"/>
    </xf>
    <xf numFmtId="171" fontId="2" fillId="0" borderId="20" xfId="0" applyNumberFormat="1" applyFont="1" applyBorder="1" applyAlignment="1">
      <alignment horizontal="center" vertical="center"/>
    </xf>
    <xf numFmtId="171" fontId="2" fillId="0" borderId="21" xfId="0" applyNumberFormat="1" applyFont="1" applyBorder="1" applyAlignment="1">
      <alignment vertical="center"/>
    </xf>
    <xf numFmtId="171" fontId="2" fillId="0" borderId="35" xfId="0" applyNumberFormat="1" applyFont="1" applyBorder="1" applyAlignment="1">
      <alignment vertical="center"/>
    </xf>
    <xf numFmtId="38" fontId="2" fillId="0" borderId="22" xfId="0" applyNumberFormat="1" applyFont="1" applyBorder="1" applyAlignment="1">
      <alignment vertical="center"/>
    </xf>
    <xf numFmtId="0" fontId="2" fillId="0" borderId="2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23" xfId="1" applyFont="1" applyBorder="1" applyAlignment="1" applyProtection="1">
      <alignment horizontal="center" vertical="center"/>
    </xf>
    <xf numFmtId="0" fontId="0" fillId="0" borderId="14" xfId="0" applyBorder="1"/>
    <xf numFmtId="0" fontId="2" fillId="0" borderId="23" xfId="1" applyFont="1" applyBorder="1" applyAlignment="1" applyProtection="1">
      <alignment horizontal="center" vertical="center" shrinkToFit="1"/>
    </xf>
    <xf numFmtId="0" fontId="0" fillId="0" borderId="14" xfId="0" applyBorder="1" applyAlignment="1">
      <alignment shrinkToFit="1"/>
    </xf>
    <xf numFmtId="169" fontId="13" fillId="2" borderId="23" xfId="1" applyNumberFormat="1" applyFont="1" applyFill="1" applyBorder="1" applyAlignment="1">
      <alignment horizontal="center" vertical="center"/>
    </xf>
    <xf numFmtId="0" fontId="14" fillId="2" borderId="14" xfId="0" applyFont="1" applyFill="1" applyBorder="1"/>
    <xf numFmtId="169" fontId="12" fillId="0" borderId="23" xfId="1" applyNumberFormat="1" applyFont="1" applyFill="1" applyBorder="1" applyAlignment="1">
      <alignment horizontal="center" vertical="center"/>
    </xf>
    <xf numFmtId="0" fontId="15" fillId="0" borderId="14" xfId="0" applyFont="1" applyBorder="1"/>
    <xf numFmtId="176" fontId="12" fillId="0" borderId="23" xfId="1" applyNumberFormat="1" applyFont="1" applyBorder="1" applyAlignment="1" applyProtection="1">
      <alignment horizontal="center" vertical="center"/>
    </xf>
    <xf numFmtId="176" fontId="12" fillId="0" borderId="13" xfId="1" applyNumberFormat="1" applyFont="1" applyBorder="1" applyAlignment="1" applyProtection="1">
      <alignment horizontal="center" vertical="center"/>
    </xf>
    <xf numFmtId="176" fontId="12" fillId="0" borderId="14" xfId="1" applyNumberFormat="1" applyFont="1" applyBorder="1" applyAlignment="1" applyProtection="1">
      <alignment horizontal="center" vertical="center"/>
    </xf>
    <xf numFmtId="164" fontId="12" fillId="0" borderId="23" xfId="1" applyNumberFormat="1" applyFont="1" applyFill="1" applyBorder="1" applyAlignment="1">
      <alignment horizontal="center" vertical="center"/>
    </xf>
    <xf numFmtId="164" fontId="12" fillId="0" borderId="14" xfId="1" applyNumberFormat="1" applyFont="1" applyFill="1" applyBorder="1" applyAlignment="1">
      <alignment horizontal="center" vertical="center"/>
    </xf>
    <xf numFmtId="2" fontId="12" fillId="0" borderId="23" xfId="1" applyNumberFormat="1" applyFont="1" applyFill="1" applyBorder="1" applyAlignment="1">
      <alignment horizontal="center" vertical="center"/>
    </xf>
    <xf numFmtId="2" fontId="12" fillId="0" borderId="14" xfId="1" applyNumberFormat="1" applyFont="1" applyFill="1" applyBorder="1" applyAlignment="1">
      <alignment horizontal="center" vertical="center"/>
    </xf>
    <xf numFmtId="0" fontId="16" fillId="3" borderId="31" xfId="1" applyFont="1" applyFill="1" applyBorder="1" applyAlignment="1" applyProtection="1">
      <alignment horizontal="center" vertical="center"/>
      <protection locked="0" hidden="1"/>
    </xf>
    <xf numFmtId="0" fontId="16" fillId="3" borderId="5" xfId="1" applyFont="1" applyFill="1" applyBorder="1" applyAlignment="1" applyProtection="1">
      <alignment horizontal="center" vertical="center"/>
      <protection locked="0" hidden="1"/>
    </xf>
    <xf numFmtId="169" fontId="12" fillId="2" borderId="23" xfId="1" applyNumberFormat="1" applyFont="1" applyFill="1" applyBorder="1" applyAlignment="1">
      <alignment horizontal="center" vertical="center"/>
    </xf>
    <xf numFmtId="0" fontId="15" fillId="2" borderId="14" xfId="0" applyFont="1" applyFill="1" applyBorder="1"/>
    <xf numFmtId="0" fontId="5" fillId="0" borderId="26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165" fontId="12" fillId="0" borderId="13" xfId="1" applyNumberFormat="1" applyFont="1" applyBorder="1" applyAlignment="1" applyProtection="1">
      <alignment horizontal="right" vertical="center"/>
    </xf>
    <xf numFmtId="165" fontId="12" fillId="0" borderId="14" xfId="1" applyNumberFormat="1" applyFont="1" applyBorder="1" applyAlignment="1" applyProtection="1">
      <alignment horizontal="right" vertical="center"/>
    </xf>
    <xf numFmtId="169" fontId="13" fillId="2" borderId="31" xfId="1" applyNumberFormat="1" applyFont="1" applyFill="1" applyBorder="1" applyAlignment="1">
      <alignment horizontal="center" vertical="center"/>
    </xf>
    <xf numFmtId="0" fontId="14" fillId="2" borderId="32" xfId="0" applyFont="1" applyFill="1" applyBorder="1"/>
    <xf numFmtId="169" fontId="12" fillId="0" borderId="31" xfId="1" applyNumberFormat="1" applyFont="1" applyFill="1" applyBorder="1" applyAlignment="1">
      <alignment horizontal="center" vertical="center"/>
    </xf>
    <xf numFmtId="0" fontId="15" fillId="0" borderId="32" xfId="0" applyFont="1" applyBorder="1"/>
    <xf numFmtId="176" fontId="12" fillId="0" borderId="31" xfId="1" applyNumberFormat="1" applyFont="1" applyBorder="1" applyAlignment="1" applyProtection="1">
      <alignment horizontal="center" vertical="center"/>
    </xf>
    <xf numFmtId="176" fontId="12" fillId="0" borderId="0" xfId="1" applyNumberFormat="1" applyFont="1" applyBorder="1" applyAlignment="1" applyProtection="1">
      <alignment horizontal="center" vertical="center"/>
    </xf>
    <xf numFmtId="176" fontId="12" fillId="0" borderId="32" xfId="1" applyNumberFormat="1" applyFont="1" applyBorder="1" applyAlignment="1" applyProtection="1">
      <alignment horizontal="center" vertical="center"/>
    </xf>
    <xf numFmtId="164" fontId="12" fillId="0" borderId="31" xfId="1" applyNumberFormat="1" applyFont="1" applyFill="1" applyBorder="1" applyAlignment="1">
      <alignment horizontal="center" vertical="center"/>
    </xf>
    <xf numFmtId="164" fontId="12" fillId="0" borderId="32" xfId="1" applyNumberFormat="1" applyFont="1" applyFill="1" applyBorder="1" applyAlignment="1">
      <alignment horizontal="center" vertical="center"/>
    </xf>
    <xf numFmtId="2" fontId="12" fillId="0" borderId="31" xfId="1" applyNumberFormat="1" applyFont="1" applyFill="1" applyBorder="1" applyAlignment="1">
      <alignment horizontal="center" vertical="center"/>
    </xf>
    <xf numFmtId="2" fontId="12" fillId="0" borderId="32" xfId="1" applyNumberFormat="1" applyFont="1" applyFill="1" applyBorder="1" applyAlignment="1">
      <alignment horizontal="center" vertical="center"/>
    </xf>
    <xf numFmtId="169" fontId="12" fillId="0" borderId="20" xfId="1" applyNumberFormat="1" applyFont="1" applyFill="1" applyBorder="1" applyAlignment="1">
      <alignment horizontal="center" vertical="center"/>
    </xf>
    <xf numFmtId="0" fontId="15" fillId="0" borderId="35" xfId="0" applyFont="1" applyBorder="1"/>
    <xf numFmtId="166" fontId="13" fillId="2" borderId="20" xfId="1" applyNumberFormat="1" applyFont="1" applyFill="1" applyBorder="1" applyAlignment="1">
      <alignment horizontal="center" vertical="center"/>
    </xf>
    <xf numFmtId="166" fontId="14" fillId="2" borderId="35" xfId="0" applyNumberFormat="1" applyFont="1" applyFill="1" applyBorder="1"/>
    <xf numFmtId="176" fontId="12" fillId="0" borderId="20" xfId="1" applyNumberFormat="1" applyFont="1" applyBorder="1" applyAlignment="1" applyProtection="1">
      <alignment horizontal="center" vertical="center"/>
    </xf>
    <xf numFmtId="176" fontId="12" fillId="0" borderId="21" xfId="1" applyNumberFormat="1" applyFont="1" applyBorder="1" applyAlignment="1" applyProtection="1">
      <alignment horizontal="center" vertical="center"/>
    </xf>
    <xf numFmtId="176" fontId="12" fillId="0" borderId="35" xfId="1" applyNumberFormat="1" applyFont="1" applyBorder="1" applyAlignment="1" applyProtection="1">
      <alignment horizontal="center" vertical="center"/>
    </xf>
    <xf numFmtId="164" fontId="12" fillId="0" borderId="20" xfId="1" applyNumberFormat="1" applyFont="1" applyFill="1" applyBorder="1" applyAlignment="1">
      <alignment horizontal="center" vertical="center"/>
    </xf>
    <xf numFmtId="164" fontId="12" fillId="0" borderId="35" xfId="1" applyNumberFormat="1" applyFont="1" applyFill="1" applyBorder="1" applyAlignment="1">
      <alignment horizontal="center" vertical="center"/>
    </xf>
    <xf numFmtId="179" fontId="16" fillId="3" borderId="31" xfId="1" applyNumberFormat="1" applyFont="1" applyFill="1" applyBorder="1" applyAlignment="1" applyProtection="1">
      <alignment horizontal="center" vertical="center"/>
      <protection locked="0" hidden="1"/>
    </xf>
    <xf numFmtId="179" fontId="16" fillId="3" borderId="5" xfId="1" applyNumberFormat="1" applyFont="1" applyFill="1" applyBorder="1" applyAlignment="1" applyProtection="1">
      <alignment horizontal="center" vertical="center"/>
      <protection locked="0" hidden="1"/>
    </xf>
    <xf numFmtId="1" fontId="16" fillId="3" borderId="20" xfId="1" applyNumberFormat="1" applyFont="1" applyFill="1" applyBorder="1" applyAlignment="1" applyProtection="1">
      <alignment horizontal="center" vertical="center"/>
      <protection locked="0"/>
    </xf>
    <xf numFmtId="1" fontId="16" fillId="3" borderId="22" xfId="1" applyNumberFormat="1" applyFont="1" applyFill="1" applyBorder="1" applyAlignment="1" applyProtection="1">
      <alignment horizontal="center" vertical="center"/>
      <protection locked="0"/>
    </xf>
    <xf numFmtId="0" fontId="18" fillId="4" borderId="2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2" fillId="0" borderId="31" xfId="0" applyNumberFormat="1" applyFont="1" applyBorder="1" applyAlignment="1">
      <alignment horizontal="center" vertical="center"/>
    </xf>
    <xf numFmtId="2" fontId="18" fillId="4" borderId="3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18" fillId="4" borderId="0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169" fontId="12" fillId="2" borderId="31" xfId="1" applyNumberFormat="1" applyFont="1" applyFill="1" applyBorder="1" applyAlignment="1">
      <alignment horizontal="center" vertical="center"/>
    </xf>
    <xf numFmtId="0" fontId="15" fillId="2" borderId="32" xfId="0" applyFont="1" applyFill="1" applyBorder="1"/>
    <xf numFmtId="165" fontId="12" fillId="0" borderId="0" xfId="1" applyNumberFormat="1" applyFont="1" applyBorder="1" applyAlignment="1" applyProtection="1">
      <alignment horizontal="right" vertical="center"/>
    </xf>
    <xf numFmtId="165" fontId="12" fillId="0" borderId="32" xfId="1" applyNumberFormat="1" applyFont="1" applyBorder="1" applyAlignment="1" applyProtection="1">
      <alignment horizontal="right" vertical="center"/>
    </xf>
    <xf numFmtId="180" fontId="2" fillId="0" borderId="31" xfId="0" applyNumberFormat="1" applyFont="1" applyBorder="1" applyAlignment="1">
      <alignment horizontal="center" vertical="center"/>
    </xf>
    <xf numFmtId="180" fontId="2" fillId="0" borderId="0" xfId="0" applyNumberFormat="1" applyFont="1" applyBorder="1" applyAlignment="1">
      <alignment horizontal="center" vertical="center"/>
    </xf>
    <xf numFmtId="180" fontId="2" fillId="0" borderId="5" xfId="0" applyNumberFormat="1" applyFont="1" applyBorder="1" applyAlignment="1">
      <alignment horizontal="center" vertical="center"/>
    </xf>
    <xf numFmtId="166" fontId="12" fillId="2" borderId="20" xfId="1" applyNumberFormat="1" applyFont="1" applyFill="1" applyBorder="1" applyAlignment="1">
      <alignment horizontal="center" vertical="center"/>
    </xf>
    <xf numFmtId="166" fontId="15" fillId="2" borderId="35" xfId="0" applyNumberFormat="1" applyFont="1" applyFill="1" applyBorder="1"/>
    <xf numFmtId="165" fontId="12" fillId="0" borderId="21" xfId="1" applyNumberFormat="1" applyFont="1" applyBorder="1" applyAlignment="1" applyProtection="1">
      <alignment horizontal="right" vertical="center"/>
    </xf>
    <xf numFmtId="165" fontId="12" fillId="0" borderId="35" xfId="1" applyNumberFormat="1" applyFont="1" applyBorder="1" applyAlignment="1" applyProtection="1">
      <alignment horizontal="right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19" fillId="4" borderId="38" xfId="0" applyFont="1" applyFill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70" fontId="2" fillId="0" borderId="0" xfId="0" applyNumberFormat="1" applyFont="1" applyBorder="1" applyAlignment="1">
      <alignment horizontal="center"/>
    </xf>
    <xf numFmtId="170" fontId="2" fillId="0" borderId="32" xfId="0" applyNumberFormat="1" applyFont="1" applyBorder="1" applyAlignment="1">
      <alignment horizontal="center"/>
    </xf>
    <xf numFmtId="0" fontId="12" fillId="0" borderId="32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2" fillId="0" borderId="39" xfId="0" applyFont="1" applyFill="1" applyBorder="1" applyAlignment="1" applyProtection="1">
      <alignment horizontal="center" vertical="center"/>
      <protection locked="0"/>
    </xf>
    <xf numFmtId="0" fontId="8" fillId="2" borderId="40" xfId="0" applyFont="1" applyFill="1" applyBorder="1" applyAlignment="1" applyProtection="1">
      <alignment horizontal="center" vertical="center"/>
      <protection locked="0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2" fontId="18" fillId="5" borderId="31" xfId="0" applyNumberFormat="1" applyFont="1" applyFill="1" applyBorder="1" applyAlignment="1">
      <alignment horizontal="center"/>
    </xf>
    <xf numFmtId="2" fontId="18" fillId="5" borderId="0" xfId="0" applyNumberFormat="1" applyFont="1" applyFill="1" applyBorder="1" applyAlignment="1">
      <alignment horizontal="center"/>
    </xf>
    <xf numFmtId="170" fontId="18" fillId="5" borderId="0" xfId="0" applyNumberFormat="1" applyFont="1" applyFill="1" applyBorder="1" applyAlignment="1">
      <alignment horizontal="center"/>
    </xf>
    <xf numFmtId="170" fontId="18" fillId="5" borderId="32" xfId="0" applyNumberFormat="1" applyFont="1" applyFill="1" applyBorder="1" applyAlignment="1">
      <alignment horizontal="center"/>
    </xf>
    <xf numFmtId="0" fontId="21" fillId="0" borderId="39" xfId="0" applyFont="1" applyFill="1" applyBorder="1" applyAlignment="1" applyProtection="1">
      <alignment horizontal="center" vertical="center"/>
      <protection locked="0"/>
    </xf>
    <xf numFmtId="0" fontId="21" fillId="2" borderId="40" xfId="0" applyFont="1" applyFill="1" applyBorder="1" applyAlignment="1" applyProtection="1">
      <alignment horizontal="center" vertical="center"/>
      <protection locked="0"/>
    </xf>
    <xf numFmtId="0" fontId="21" fillId="2" borderId="4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1" fontId="2" fillId="0" borderId="31" xfId="0" quotePrefix="1" applyNumberFormat="1" applyFont="1" applyFill="1" applyBorder="1" applyAlignment="1" applyProtection="1">
      <alignment horizontal="center" vertical="center"/>
      <protection locked="0"/>
    </xf>
    <xf numFmtId="1" fontId="2" fillId="0" borderId="0" xfId="0" quotePrefix="1" applyNumberFormat="1" applyFont="1" applyFill="1" applyBorder="1" applyAlignment="1" applyProtection="1">
      <alignment horizontal="center" vertical="center"/>
      <protection locked="0"/>
    </xf>
    <xf numFmtId="1" fontId="2" fillId="0" borderId="32" xfId="0" quotePrefix="1" applyNumberFormat="1" applyFont="1" applyFill="1" applyBorder="1" applyAlignment="1" applyProtection="1">
      <alignment horizontal="center" vertical="center"/>
      <protection locked="0"/>
    </xf>
    <xf numFmtId="1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1" fontId="8" fillId="2" borderId="5" xfId="0" quotePrefix="1" applyNumberFormat="1" applyFont="1" applyFill="1" applyBorder="1" applyAlignment="1" applyProtection="1">
      <alignment horizontal="center" vertical="center"/>
      <protection locked="0"/>
    </xf>
    <xf numFmtId="1" fontId="21" fillId="0" borderId="31" xfId="0" quotePrefix="1" applyNumberFormat="1" applyFont="1" applyFill="1" applyBorder="1" applyAlignment="1" applyProtection="1">
      <alignment horizontal="center" vertical="center"/>
      <protection locked="0"/>
    </xf>
    <xf numFmtId="1" fontId="21" fillId="0" borderId="0" xfId="0" quotePrefix="1" applyNumberFormat="1" applyFont="1" applyFill="1" applyBorder="1" applyAlignment="1" applyProtection="1">
      <alignment horizontal="center" vertical="center"/>
      <protection locked="0"/>
    </xf>
    <xf numFmtId="1" fontId="21" fillId="0" borderId="32" xfId="0" quotePrefix="1" applyNumberFormat="1" applyFont="1" applyFill="1" applyBorder="1" applyAlignment="1" applyProtection="1">
      <alignment horizontal="center" vertical="center"/>
      <protection locked="0"/>
    </xf>
    <xf numFmtId="1" fontId="21" fillId="2" borderId="0" xfId="0" quotePrefix="1" applyNumberFormat="1" applyFont="1" applyFill="1" applyBorder="1" applyAlignment="1" applyProtection="1">
      <alignment horizontal="center" vertical="center"/>
      <protection locked="0"/>
    </xf>
    <xf numFmtId="1" fontId="21" fillId="2" borderId="5" xfId="0" quotePrefix="1" applyNumberFormat="1" applyFont="1" applyFill="1" applyBorder="1" applyAlignment="1" applyProtection="1">
      <alignment horizontal="center" vertical="center"/>
      <protection locked="0"/>
    </xf>
    <xf numFmtId="0" fontId="2" fillId="0" borderId="42" xfId="0" applyFont="1" applyFill="1" applyBorder="1" applyAlignment="1" applyProtection="1">
      <alignment horizontal="center" vertical="center"/>
      <protection locked="0"/>
    </xf>
    <xf numFmtId="0" fontId="21" fillId="0" borderId="42" xfId="0" applyFont="1" applyFill="1" applyBorder="1" applyAlignment="1" applyProtection="1">
      <alignment horizontal="center" vertical="center"/>
      <protection locked="0"/>
    </xf>
    <xf numFmtId="2" fontId="2" fillId="0" borderId="39" xfId="0" applyNumberFormat="1" applyFont="1" applyFill="1" applyBorder="1" applyAlignment="1">
      <alignment horizontal="center" vertical="center"/>
    </xf>
    <xf numFmtId="2" fontId="2" fillId="0" borderId="42" xfId="0" applyNumberFormat="1" applyFont="1" applyFill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/>
    </xf>
    <xf numFmtId="2" fontId="18" fillId="0" borderId="0" xfId="0" applyNumberFormat="1" applyFont="1" applyBorder="1" applyAlignment="1">
      <alignment horizontal="center"/>
    </xf>
    <xf numFmtId="170" fontId="18" fillId="0" borderId="0" xfId="0" applyNumberFormat="1" applyFont="1" applyBorder="1" applyAlignment="1">
      <alignment horizontal="center"/>
    </xf>
    <xf numFmtId="170" fontId="18" fillId="0" borderId="32" xfId="0" applyNumberFormat="1" applyFont="1" applyBorder="1" applyAlignment="1">
      <alignment horizontal="center"/>
    </xf>
    <xf numFmtId="4" fontId="22" fillId="3" borderId="31" xfId="0" applyNumberFormat="1" applyFont="1" applyFill="1" applyBorder="1" applyAlignment="1">
      <alignment horizontal="center" vertical="center"/>
    </xf>
    <xf numFmtId="4" fontId="22" fillId="3" borderId="0" xfId="0" applyNumberFormat="1" applyFont="1" applyFill="1" applyBorder="1" applyAlignment="1">
      <alignment horizontal="center" vertical="center"/>
    </xf>
    <xf numFmtId="4" fontId="22" fillId="3" borderId="5" xfId="0" applyNumberFormat="1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32" xfId="0" applyNumberFormat="1" applyFont="1" applyFill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 vertical="center"/>
    </xf>
    <xf numFmtId="3" fontId="2" fillId="0" borderId="3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32" xfId="0" applyNumberFormat="1" applyFont="1" applyFill="1" applyBorder="1" applyAlignment="1">
      <alignment horizontal="center" vertical="center"/>
    </xf>
    <xf numFmtId="3" fontId="22" fillId="3" borderId="0" xfId="0" applyNumberFormat="1" applyFont="1" applyFill="1" applyBorder="1" applyAlignment="1">
      <alignment horizontal="center" vertical="center"/>
    </xf>
    <xf numFmtId="3" fontId="22" fillId="3" borderId="5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0" fontId="2" fillId="0" borderId="43" xfId="0" applyNumberFormat="1" applyFont="1" applyFill="1" applyBorder="1" applyAlignment="1">
      <alignment horizontal="center" vertical="center"/>
    </xf>
    <xf numFmtId="40" fontId="2" fillId="0" borderId="43" xfId="0" applyNumberFormat="1" applyFont="1" applyBorder="1" applyAlignment="1">
      <alignment vertical="center"/>
    </xf>
    <xf numFmtId="40" fontId="2" fillId="0" borderId="44" xfId="0" applyNumberFormat="1" applyFont="1" applyBorder="1" applyAlignment="1">
      <alignment vertical="center"/>
    </xf>
    <xf numFmtId="2" fontId="2" fillId="0" borderId="2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170" fontId="2" fillId="0" borderId="26" xfId="0" applyNumberFormat="1" applyFont="1" applyBorder="1" applyAlignment="1">
      <alignment horizontal="center"/>
    </xf>
    <xf numFmtId="170" fontId="2" fillId="0" borderId="33" xfId="0" applyNumberFormat="1" applyFont="1" applyBorder="1" applyAlignment="1">
      <alignment horizontal="center"/>
    </xf>
    <xf numFmtId="38" fontId="2" fillId="0" borderId="43" xfId="0" applyNumberFormat="1" applyFont="1" applyFill="1" applyBorder="1" applyAlignment="1">
      <alignment horizontal="center" vertical="center"/>
    </xf>
    <xf numFmtId="38" fontId="2" fillId="0" borderId="43" xfId="0" applyNumberFormat="1" applyFont="1" applyBorder="1" applyAlignment="1">
      <alignment vertical="center"/>
    </xf>
    <xf numFmtId="38" fontId="2" fillId="0" borderId="44" xfId="0" applyNumberFormat="1" applyFont="1" applyBorder="1" applyAlignment="1">
      <alignment vertical="center"/>
    </xf>
    <xf numFmtId="181" fontId="12" fillId="0" borderId="0" xfId="0" applyNumberFormat="1" applyFont="1" applyBorder="1" applyAlignment="1">
      <alignment horizontal="center" vertical="center"/>
    </xf>
    <xf numFmtId="164" fontId="2" fillId="0" borderId="39" xfId="0" applyNumberFormat="1" applyFont="1" applyFill="1" applyBorder="1" applyAlignment="1">
      <alignment horizontal="center" vertical="center"/>
    </xf>
    <xf numFmtId="1" fontId="24" fillId="0" borderId="39" xfId="0" applyNumberFormat="1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3" fillId="4" borderId="4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4" borderId="39" xfId="0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2" fillId="0" borderId="39" xfId="0" applyNumberFormat="1" applyFont="1" applyFill="1" applyBorder="1" applyAlignment="1">
      <alignment horizontal="center" vertical="center"/>
    </xf>
    <xf numFmtId="164" fontId="22" fillId="0" borderId="31" xfId="0" applyNumberFormat="1" applyFont="1" applyFill="1" applyBorder="1" applyAlignment="1">
      <alignment horizontal="center" vertical="center"/>
    </xf>
    <xf numFmtId="164" fontId="22" fillId="0" borderId="32" xfId="0" applyNumberFormat="1" applyFont="1" applyFill="1" applyBorder="1" applyAlignment="1">
      <alignment horizontal="center" vertical="center"/>
    </xf>
    <xf numFmtId="1" fontId="21" fillId="3" borderId="39" xfId="0" applyNumberFormat="1" applyFont="1" applyFill="1" applyBorder="1" applyAlignment="1" applyProtection="1">
      <alignment horizontal="center" vertical="center"/>
      <protection locked="0"/>
    </xf>
    <xf numFmtId="181" fontId="2" fillId="0" borderId="39" xfId="0" applyNumberFormat="1" applyFont="1" applyFill="1" applyBorder="1" applyAlignment="1">
      <alignment horizontal="center" vertical="center"/>
    </xf>
    <xf numFmtId="181" fontId="2" fillId="0" borderId="42" xfId="0" applyNumberFormat="1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1" fontId="21" fillId="3" borderId="31" xfId="0" applyNumberFormat="1" applyFont="1" applyFill="1" applyBorder="1" applyAlignment="1" applyProtection="1">
      <alignment horizontal="center" vertical="center"/>
      <protection locked="0"/>
    </xf>
    <xf numFmtId="1" fontId="21" fillId="3" borderId="32" xfId="0" applyNumberFormat="1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>
      <alignment horizontal="center" vertical="center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5" xfId="0" applyFont="1" applyBorder="1" applyAlignment="1" applyProtection="1">
      <alignment horizontal="left" vertical="center" wrapText="1"/>
    </xf>
    <xf numFmtId="181" fontId="2" fillId="0" borderId="31" xfId="0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vertical="center"/>
    </xf>
    <xf numFmtId="1" fontId="2" fillId="0" borderId="39" xfId="0" quotePrefix="1" applyNumberFormat="1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164" fontId="2" fillId="0" borderId="43" xfId="0" quotePrefix="1" applyNumberFormat="1" applyFont="1" applyFill="1" applyBorder="1" applyAlignment="1">
      <alignment horizontal="center" vertical="center"/>
    </xf>
    <xf numFmtId="1" fontId="21" fillId="3" borderId="20" xfId="0" applyNumberFormat="1" applyFont="1" applyFill="1" applyBorder="1" applyAlignment="1" applyProtection="1">
      <alignment horizontal="center" vertical="center"/>
      <protection locked="0"/>
    </xf>
    <xf numFmtId="1" fontId="21" fillId="3" borderId="35" xfId="0" applyNumberFormat="1" applyFont="1" applyFill="1" applyBorder="1" applyAlignment="1" applyProtection="1">
      <alignment horizontal="center" vertical="center"/>
      <protection locked="0"/>
    </xf>
    <xf numFmtId="181" fontId="2" fillId="0" borderId="43" xfId="0" applyNumberFormat="1" applyFont="1" applyFill="1" applyBorder="1" applyAlignment="1">
      <alignment horizontal="center" vertical="center"/>
    </xf>
    <xf numFmtId="181" fontId="2" fillId="0" borderId="20" xfId="0" applyNumberFormat="1" applyFont="1" applyFill="1" applyBorder="1" applyAlignment="1">
      <alignment horizontal="center" vertical="center"/>
    </xf>
    <xf numFmtId="1" fontId="2" fillId="0" borderId="43" xfId="0" quotePrefix="1" applyNumberFormat="1" applyFont="1" applyFill="1" applyBorder="1" applyAlignment="1">
      <alignment horizontal="center" vertical="center"/>
    </xf>
    <xf numFmtId="1" fontId="21" fillId="3" borderId="43" xfId="0" applyNumberFormat="1" applyFont="1" applyFill="1" applyBorder="1" applyAlignment="1" applyProtection="1">
      <alignment horizontal="center" vertical="center"/>
      <protection locked="0"/>
    </xf>
    <xf numFmtId="2" fontId="2" fillId="0" borderId="48" xfId="0" applyNumberFormat="1" applyFont="1" applyFill="1" applyBorder="1" applyAlignment="1">
      <alignment horizontal="center" vertical="center"/>
    </xf>
    <xf numFmtId="2" fontId="2" fillId="0" borderId="49" xfId="0" applyNumberFormat="1" applyFont="1" applyFill="1" applyBorder="1" applyAlignment="1">
      <alignment horizontal="center" vertical="center"/>
    </xf>
    <xf numFmtId="2" fontId="2" fillId="0" borderId="50" xfId="0" applyNumberFormat="1" applyFont="1" applyFill="1" applyBorder="1" applyAlignment="1">
      <alignment horizontal="center" vertical="center"/>
    </xf>
    <xf numFmtId="182" fontId="2" fillId="0" borderId="0" xfId="0" applyNumberFormat="1" applyFont="1" applyBorder="1" applyAlignment="1">
      <alignment horizontal="center"/>
    </xf>
    <xf numFmtId="183" fontId="2" fillId="0" borderId="0" xfId="0" applyNumberFormat="1" applyFont="1" applyBorder="1" applyAlignment="1">
      <alignment horizontal="center" vertical="center"/>
    </xf>
    <xf numFmtId="164" fontId="2" fillId="0" borderId="51" xfId="0" applyNumberFormat="1" applyFont="1" applyFill="1" applyBorder="1" applyAlignment="1">
      <alignment horizontal="center" vertical="center"/>
    </xf>
    <xf numFmtId="164" fontId="2" fillId="0" borderId="52" xfId="0" applyNumberFormat="1" applyFont="1" applyFill="1" applyBorder="1" applyAlignment="1">
      <alignment horizontal="center" vertical="center"/>
    </xf>
    <xf numFmtId="164" fontId="2" fillId="0" borderId="53" xfId="0" applyNumberFormat="1" applyFont="1" applyFill="1" applyBorder="1" applyAlignment="1">
      <alignment horizontal="center" vertical="center"/>
    </xf>
    <xf numFmtId="0" fontId="29" fillId="0" borderId="0" xfId="1" applyFont="1" applyBorder="1" applyAlignment="1" applyProtection="1">
      <alignment horizontal="center" vertical="center" shrinkToFit="1"/>
    </xf>
    <xf numFmtId="184" fontId="8" fillId="0" borderId="0" xfId="1" applyNumberFormat="1" applyFont="1" applyBorder="1" applyAlignment="1" applyProtection="1">
      <alignment horizontal="left"/>
    </xf>
    <xf numFmtId="3" fontId="8" fillId="0" borderId="0" xfId="1" applyNumberFormat="1" applyFont="1" applyBorder="1" applyAlignment="1">
      <alignment horizontal="left"/>
    </xf>
    <xf numFmtId="3" fontId="8" fillId="0" borderId="0" xfId="1" quotePrefix="1" applyNumberFormat="1" applyFont="1" applyBorder="1" applyAlignment="1">
      <alignment horizontal="left"/>
    </xf>
    <xf numFmtId="1" fontId="2" fillId="0" borderId="0" xfId="0" quotePrefix="1" applyNumberFormat="1" applyFont="1" applyBorder="1" applyAlignment="1">
      <alignment horizontal="center" vertical="center"/>
    </xf>
    <xf numFmtId="172" fontId="8" fillId="2" borderId="25" xfId="0" applyNumberFormat="1" applyFont="1" applyFill="1" applyBorder="1" applyAlignment="1" applyProtection="1">
      <alignment horizontal="center" vertical="center"/>
      <protection locked="0"/>
    </xf>
    <xf numFmtId="172" fontId="8" fillId="2" borderId="26" xfId="0" applyNumberFormat="1" applyFont="1" applyFill="1" applyBorder="1" applyAlignment="1" applyProtection="1">
      <alignment horizontal="center" vertical="center"/>
      <protection locked="0"/>
    </xf>
    <xf numFmtId="172" fontId="8" fillId="2" borderId="27" xfId="0" applyNumberFormat="1" applyFont="1" applyFill="1" applyBorder="1" applyAlignment="1" applyProtection="1">
      <alignment horizontal="center" vertical="center"/>
      <protection locked="0"/>
    </xf>
    <xf numFmtId="172" fontId="8" fillId="2" borderId="23" xfId="0" applyNumberFormat="1" applyFont="1" applyFill="1" applyBorder="1" applyAlignment="1" applyProtection="1">
      <alignment horizontal="center" vertical="center"/>
      <protection locked="0"/>
    </xf>
    <xf numFmtId="172" fontId="8" fillId="2" borderId="13" xfId="0" applyNumberFormat="1" applyFont="1" applyFill="1" applyBorder="1" applyAlignment="1" applyProtection="1">
      <alignment horizontal="center" vertical="center"/>
      <protection locked="0"/>
    </xf>
    <xf numFmtId="172" fontId="8" fillId="2" borderId="24" xfId="0" applyNumberFormat="1" applyFont="1" applyFill="1" applyBorder="1" applyAlignment="1" applyProtection="1">
      <alignment horizontal="center" vertical="center"/>
      <protection locked="0"/>
    </xf>
    <xf numFmtId="1" fontId="31" fillId="3" borderId="23" xfId="1" applyNumberFormat="1" applyFont="1" applyFill="1" applyBorder="1" applyAlignment="1">
      <alignment horizontal="center" vertical="center"/>
    </xf>
    <xf numFmtId="1" fontId="31" fillId="3" borderId="14" xfId="1" applyNumberFormat="1" applyFont="1" applyFill="1" applyBorder="1" applyAlignment="1">
      <alignment horizontal="center" vertical="center"/>
    </xf>
    <xf numFmtId="1" fontId="31" fillId="3" borderId="31" xfId="1" applyNumberFormat="1" applyFont="1" applyFill="1" applyBorder="1" applyAlignment="1" applyProtection="1">
      <alignment horizontal="center" vertical="center"/>
      <protection locked="0" hidden="1"/>
    </xf>
    <xf numFmtId="1" fontId="31" fillId="3" borderId="5" xfId="1" applyNumberFormat="1" applyFont="1" applyFill="1" applyBorder="1" applyAlignment="1" applyProtection="1">
      <alignment horizontal="center" vertical="center"/>
      <protection locked="0" hidden="1"/>
    </xf>
    <xf numFmtId="1" fontId="31" fillId="3" borderId="31" xfId="1" applyNumberFormat="1" applyFont="1" applyFill="1" applyBorder="1" applyAlignment="1">
      <alignment horizontal="center" vertical="center"/>
    </xf>
    <xf numFmtId="1" fontId="31" fillId="3" borderId="32" xfId="1" applyNumberFormat="1" applyFont="1" applyFill="1" applyBorder="1" applyAlignment="1">
      <alignment horizontal="center" vertical="center"/>
    </xf>
    <xf numFmtId="1" fontId="31" fillId="3" borderId="20" xfId="1" applyNumberFormat="1" applyFont="1" applyFill="1" applyBorder="1" applyAlignment="1">
      <alignment horizontal="center" vertical="center"/>
    </xf>
    <xf numFmtId="1" fontId="31" fillId="3" borderId="35" xfId="1" applyNumberFormat="1" applyFont="1" applyFill="1" applyBorder="1" applyAlignment="1">
      <alignment horizontal="center" vertical="center"/>
    </xf>
    <xf numFmtId="1" fontId="31" fillId="3" borderId="20" xfId="1" applyNumberFormat="1" applyFont="1" applyFill="1" applyBorder="1" applyAlignment="1" applyProtection="1">
      <alignment horizontal="center" vertical="center"/>
      <protection locked="0"/>
    </xf>
    <xf numFmtId="1" fontId="31" fillId="3" borderId="22" xfId="1" applyNumberFormat="1" applyFont="1" applyFill="1" applyBorder="1" applyAlignment="1" applyProtection="1">
      <alignment horizontal="center" vertical="center"/>
      <protection locked="0"/>
    </xf>
    <xf numFmtId="2" fontId="8" fillId="2" borderId="31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Border="1" applyAlignment="1">
      <alignment horizontal="center" vertical="center"/>
    </xf>
    <xf numFmtId="2" fontId="8" fillId="2" borderId="32" xfId="0" applyNumberFormat="1" applyFont="1" applyFill="1" applyBorder="1" applyAlignment="1">
      <alignment horizontal="center" vertical="center"/>
    </xf>
  </cellXfs>
  <cellStyles count="2">
    <cellStyle name="Normal" xfId="0" builtinId="0"/>
    <cellStyle name="표준_horizontal_drum_sizing-ysk" xfId="1" xr:uid="{6C2147A0-F9C0-4D27-AE46-D49180EDF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85725</xdr:colOff>
      <xdr:row>15</xdr:row>
      <xdr:rowOff>104775</xdr:rowOff>
    </xdr:from>
    <xdr:to>
      <xdr:col>24</xdr:col>
      <xdr:colOff>190500</xdr:colOff>
      <xdr:row>16</xdr:row>
      <xdr:rowOff>95250</xdr:rowOff>
    </xdr:to>
    <xdr:grpSp>
      <xdr:nvGrpSpPr>
        <xdr:cNvPr id="2" name="Group 205">
          <a:extLst>
            <a:ext uri="{FF2B5EF4-FFF2-40B4-BE49-F238E27FC236}">
              <a16:creationId xmlns:a16="http://schemas.microsoft.com/office/drawing/2014/main" id="{80A01C76-15A2-4076-B160-7369F84CE2A9}"/>
            </a:ext>
          </a:extLst>
        </xdr:cNvPr>
        <xdr:cNvGrpSpPr>
          <a:grpSpLocks/>
        </xdr:cNvGrpSpPr>
      </xdr:nvGrpSpPr>
      <xdr:grpSpPr bwMode="auto">
        <a:xfrm>
          <a:off x="9372600" y="3368963"/>
          <a:ext cx="106219" cy="196274"/>
          <a:chOff x="999" y="386"/>
          <a:chExt cx="11" cy="20"/>
        </a:xfrm>
      </xdr:grpSpPr>
      <xdr:sp macro="" textlink="">
        <xdr:nvSpPr>
          <xdr:cNvPr id="3" name="Line 206">
            <a:extLst>
              <a:ext uri="{FF2B5EF4-FFF2-40B4-BE49-F238E27FC236}">
                <a16:creationId xmlns:a16="http://schemas.microsoft.com/office/drawing/2014/main" id="{700E576C-0658-4F36-8A51-626969B63A74}"/>
              </a:ext>
            </a:extLst>
          </xdr:cNvPr>
          <xdr:cNvSpPr>
            <a:spLocks noChangeShapeType="1"/>
          </xdr:cNvSpPr>
        </xdr:nvSpPr>
        <xdr:spPr bwMode="auto">
          <a:xfrm flipH="1">
            <a:off x="1004" y="390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207">
            <a:extLst>
              <a:ext uri="{FF2B5EF4-FFF2-40B4-BE49-F238E27FC236}">
                <a16:creationId xmlns:a16="http://schemas.microsoft.com/office/drawing/2014/main" id="{8A87EA1A-1F39-4C1D-A120-8FBCEFA20EEE}"/>
              </a:ext>
            </a:extLst>
          </xdr:cNvPr>
          <xdr:cNvSpPr>
            <a:spLocks noChangeShapeType="1"/>
          </xdr:cNvSpPr>
        </xdr:nvSpPr>
        <xdr:spPr bwMode="auto">
          <a:xfrm>
            <a:off x="1004" y="404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208">
            <a:extLst>
              <a:ext uri="{FF2B5EF4-FFF2-40B4-BE49-F238E27FC236}">
                <a16:creationId xmlns:a16="http://schemas.microsoft.com/office/drawing/2014/main" id="{6706BFF2-4E1D-4E22-9807-219DC57545ED}"/>
              </a:ext>
            </a:extLst>
          </xdr:cNvPr>
          <xdr:cNvSpPr>
            <a:spLocks noChangeShapeType="1"/>
          </xdr:cNvSpPr>
        </xdr:nvSpPr>
        <xdr:spPr bwMode="auto">
          <a:xfrm>
            <a:off x="999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209">
            <a:extLst>
              <a:ext uri="{FF2B5EF4-FFF2-40B4-BE49-F238E27FC236}">
                <a16:creationId xmlns:a16="http://schemas.microsoft.com/office/drawing/2014/main" id="{96CE1753-C75A-4270-8DCF-D39AD03AF839}"/>
              </a:ext>
            </a:extLst>
          </xdr:cNvPr>
          <xdr:cNvSpPr>
            <a:spLocks noChangeShapeType="1"/>
          </xdr:cNvSpPr>
        </xdr:nvSpPr>
        <xdr:spPr bwMode="auto">
          <a:xfrm>
            <a:off x="1003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22</xdr:col>
      <xdr:colOff>9525</xdr:colOff>
      <xdr:row>9</xdr:row>
      <xdr:rowOff>9525</xdr:rowOff>
    </xdr:from>
    <xdr:to>
      <xdr:col>22</xdr:col>
      <xdr:colOff>9525</xdr:colOff>
      <xdr:row>11</xdr:row>
      <xdr:rowOff>9525</xdr:rowOff>
    </xdr:to>
    <xdr:sp macro="" textlink="">
      <xdr:nvSpPr>
        <xdr:cNvPr id="7" name="Line 211">
          <a:extLst>
            <a:ext uri="{FF2B5EF4-FFF2-40B4-BE49-F238E27FC236}">
              <a16:creationId xmlns:a16="http://schemas.microsoft.com/office/drawing/2014/main" id="{6E454314-31DA-41EE-8C9B-F58C3A9366D7}"/>
            </a:ext>
          </a:extLst>
        </xdr:cNvPr>
        <xdr:cNvSpPr>
          <a:spLocks noChangeShapeType="1"/>
        </xdr:cNvSpPr>
      </xdr:nvSpPr>
      <xdr:spPr bwMode="auto">
        <a:xfrm flipH="1">
          <a:off x="8639175" y="2000250"/>
          <a:ext cx="0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11</xdr:row>
      <xdr:rowOff>0</xdr:rowOff>
    </xdr:from>
    <xdr:to>
      <xdr:col>22</xdr:col>
      <xdr:colOff>9525</xdr:colOff>
      <xdr:row>12</xdr:row>
      <xdr:rowOff>9525</xdr:rowOff>
    </xdr:to>
    <xdr:sp macro="" textlink="">
      <xdr:nvSpPr>
        <xdr:cNvPr id="8" name="Line 212">
          <a:extLst>
            <a:ext uri="{FF2B5EF4-FFF2-40B4-BE49-F238E27FC236}">
              <a16:creationId xmlns:a16="http://schemas.microsoft.com/office/drawing/2014/main" id="{B7D39088-1435-44FA-81A7-38E0F72A6F9A}"/>
            </a:ext>
          </a:extLst>
        </xdr:cNvPr>
        <xdr:cNvSpPr>
          <a:spLocks noChangeShapeType="1"/>
        </xdr:cNvSpPr>
      </xdr:nvSpPr>
      <xdr:spPr bwMode="auto">
        <a:xfrm>
          <a:off x="8639175" y="2390775"/>
          <a:ext cx="0" cy="2095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12</xdr:row>
      <xdr:rowOff>19050</xdr:rowOff>
    </xdr:from>
    <xdr:to>
      <xdr:col>22</xdr:col>
      <xdr:colOff>9525</xdr:colOff>
      <xdr:row>16</xdr:row>
      <xdr:rowOff>9525</xdr:rowOff>
    </xdr:to>
    <xdr:sp macro="" textlink="">
      <xdr:nvSpPr>
        <xdr:cNvPr id="9" name="Line 213">
          <a:extLst>
            <a:ext uri="{FF2B5EF4-FFF2-40B4-BE49-F238E27FC236}">
              <a16:creationId xmlns:a16="http://schemas.microsoft.com/office/drawing/2014/main" id="{803E87EF-D559-476E-879C-8B094E06782B}"/>
            </a:ext>
          </a:extLst>
        </xdr:cNvPr>
        <xdr:cNvSpPr>
          <a:spLocks noChangeShapeType="1"/>
        </xdr:cNvSpPr>
      </xdr:nvSpPr>
      <xdr:spPr bwMode="auto">
        <a:xfrm>
          <a:off x="8639175" y="2609850"/>
          <a:ext cx="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16</xdr:row>
      <xdr:rowOff>0</xdr:rowOff>
    </xdr:from>
    <xdr:to>
      <xdr:col>22</xdr:col>
      <xdr:colOff>9525</xdr:colOff>
      <xdr:row>30</xdr:row>
      <xdr:rowOff>0</xdr:rowOff>
    </xdr:to>
    <xdr:sp macro="" textlink="">
      <xdr:nvSpPr>
        <xdr:cNvPr id="10" name="Line 217">
          <a:extLst>
            <a:ext uri="{FF2B5EF4-FFF2-40B4-BE49-F238E27FC236}">
              <a16:creationId xmlns:a16="http://schemas.microsoft.com/office/drawing/2014/main" id="{6DAC71E7-97A5-4D53-A65C-F1D9592C4175}"/>
            </a:ext>
          </a:extLst>
        </xdr:cNvPr>
        <xdr:cNvSpPr>
          <a:spLocks noChangeShapeType="1"/>
        </xdr:cNvSpPr>
      </xdr:nvSpPr>
      <xdr:spPr bwMode="auto">
        <a:xfrm>
          <a:off x="8639175" y="3390900"/>
          <a:ext cx="0" cy="28479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171450</xdr:colOff>
      <xdr:row>9</xdr:row>
      <xdr:rowOff>0</xdr:rowOff>
    </xdr:from>
    <xdr:to>
      <xdr:col>24</xdr:col>
      <xdr:colOff>200025</xdr:colOff>
      <xdr:row>9</xdr:row>
      <xdr:rowOff>0</xdr:rowOff>
    </xdr:to>
    <xdr:sp macro="" textlink="">
      <xdr:nvSpPr>
        <xdr:cNvPr id="11" name="Line 218">
          <a:extLst>
            <a:ext uri="{FF2B5EF4-FFF2-40B4-BE49-F238E27FC236}">
              <a16:creationId xmlns:a16="http://schemas.microsoft.com/office/drawing/2014/main" id="{991CC794-8ECF-48C8-95DC-4B559CD863AF}"/>
            </a:ext>
          </a:extLst>
        </xdr:cNvPr>
        <xdr:cNvSpPr>
          <a:spLocks noChangeShapeType="1"/>
        </xdr:cNvSpPr>
      </xdr:nvSpPr>
      <xdr:spPr bwMode="auto">
        <a:xfrm>
          <a:off x="8248650" y="199072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171450</xdr:colOff>
      <xdr:row>12</xdr:row>
      <xdr:rowOff>0</xdr:rowOff>
    </xdr:from>
    <xdr:to>
      <xdr:col>24</xdr:col>
      <xdr:colOff>200025</xdr:colOff>
      <xdr:row>12</xdr:row>
      <xdr:rowOff>0</xdr:rowOff>
    </xdr:to>
    <xdr:sp macro="" textlink="">
      <xdr:nvSpPr>
        <xdr:cNvPr id="12" name="Line 219">
          <a:extLst>
            <a:ext uri="{FF2B5EF4-FFF2-40B4-BE49-F238E27FC236}">
              <a16:creationId xmlns:a16="http://schemas.microsoft.com/office/drawing/2014/main" id="{BF0931FF-700B-4F5E-AC50-42B3F88AAA5E}"/>
            </a:ext>
          </a:extLst>
        </xdr:cNvPr>
        <xdr:cNvSpPr>
          <a:spLocks noChangeShapeType="1"/>
        </xdr:cNvSpPr>
      </xdr:nvSpPr>
      <xdr:spPr bwMode="auto">
        <a:xfrm>
          <a:off x="8248650" y="2590800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16</xdr:row>
      <xdr:rowOff>0</xdr:rowOff>
    </xdr:from>
    <xdr:to>
      <xdr:col>24</xdr:col>
      <xdr:colOff>104775</xdr:colOff>
      <xdr:row>16</xdr:row>
      <xdr:rowOff>0</xdr:rowOff>
    </xdr:to>
    <xdr:sp macro="" textlink="">
      <xdr:nvSpPr>
        <xdr:cNvPr id="13" name="Line 220">
          <a:extLst>
            <a:ext uri="{FF2B5EF4-FFF2-40B4-BE49-F238E27FC236}">
              <a16:creationId xmlns:a16="http://schemas.microsoft.com/office/drawing/2014/main" id="{A3F3634B-7287-402E-88DC-C2C1238885D6}"/>
            </a:ext>
          </a:extLst>
        </xdr:cNvPr>
        <xdr:cNvSpPr>
          <a:spLocks noChangeShapeType="1"/>
        </xdr:cNvSpPr>
      </xdr:nvSpPr>
      <xdr:spPr bwMode="auto">
        <a:xfrm>
          <a:off x="8267700" y="3390900"/>
          <a:ext cx="10191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152400</xdr:colOff>
      <xdr:row>30</xdr:row>
      <xdr:rowOff>0</xdr:rowOff>
    </xdr:from>
    <xdr:to>
      <xdr:col>24</xdr:col>
      <xdr:colOff>180975</xdr:colOff>
      <xdr:row>30</xdr:row>
      <xdr:rowOff>0</xdr:rowOff>
    </xdr:to>
    <xdr:sp macro="" textlink="">
      <xdr:nvSpPr>
        <xdr:cNvPr id="14" name="Line 224">
          <a:extLst>
            <a:ext uri="{FF2B5EF4-FFF2-40B4-BE49-F238E27FC236}">
              <a16:creationId xmlns:a16="http://schemas.microsoft.com/office/drawing/2014/main" id="{03345A0F-51AC-448D-BE8B-8F9B84EDA5D5}"/>
            </a:ext>
          </a:extLst>
        </xdr:cNvPr>
        <xdr:cNvSpPr>
          <a:spLocks noChangeShapeType="1"/>
        </xdr:cNvSpPr>
      </xdr:nvSpPr>
      <xdr:spPr bwMode="auto">
        <a:xfrm>
          <a:off x="8229600" y="623887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11</xdr:row>
      <xdr:rowOff>0</xdr:rowOff>
    </xdr:from>
    <xdr:to>
      <xdr:col>24</xdr:col>
      <xdr:colOff>180975</xdr:colOff>
      <xdr:row>11</xdr:row>
      <xdr:rowOff>0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1413DCE6-059A-4BCA-9563-E302B633343D}"/>
            </a:ext>
          </a:extLst>
        </xdr:cNvPr>
        <xdr:cNvSpPr>
          <a:spLocks noChangeShapeType="1"/>
        </xdr:cNvSpPr>
      </xdr:nvSpPr>
      <xdr:spPr bwMode="auto">
        <a:xfrm>
          <a:off x="8267700" y="23907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209550</xdr:colOff>
      <xdr:row>7</xdr:row>
      <xdr:rowOff>19050</xdr:rowOff>
    </xdr:from>
    <xdr:to>
      <xdr:col>33</xdr:col>
      <xdr:colOff>85725</xdr:colOff>
      <xdr:row>9</xdr:row>
      <xdr:rowOff>9525</xdr:rowOff>
    </xdr:to>
    <xdr:grpSp>
      <xdr:nvGrpSpPr>
        <xdr:cNvPr id="16" name="Group 227">
          <a:extLst>
            <a:ext uri="{FF2B5EF4-FFF2-40B4-BE49-F238E27FC236}">
              <a16:creationId xmlns:a16="http://schemas.microsoft.com/office/drawing/2014/main" id="{C0453D05-007B-41B8-B623-8F2F425FE4E2}"/>
            </a:ext>
          </a:extLst>
        </xdr:cNvPr>
        <xdr:cNvGrpSpPr>
          <a:grpSpLocks/>
        </xdr:cNvGrpSpPr>
      </xdr:nvGrpSpPr>
      <xdr:grpSpPr bwMode="auto">
        <a:xfrm>
          <a:off x="9497291" y="1637146"/>
          <a:ext cx="2581563" cy="401781"/>
          <a:chOff x="1010" y="143"/>
          <a:chExt cx="265" cy="41"/>
        </a:xfrm>
      </xdr:grpSpPr>
      <xdr:sp macro="" textlink="">
        <xdr:nvSpPr>
          <xdr:cNvPr id="17" name="Arc 228">
            <a:extLst>
              <a:ext uri="{FF2B5EF4-FFF2-40B4-BE49-F238E27FC236}">
                <a16:creationId xmlns:a16="http://schemas.microsoft.com/office/drawing/2014/main" id="{A1C8EFC1-DDF0-4F74-A0A7-D84AAF95863C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Arc 229">
            <a:extLst>
              <a:ext uri="{FF2B5EF4-FFF2-40B4-BE49-F238E27FC236}">
                <a16:creationId xmlns:a16="http://schemas.microsoft.com/office/drawing/2014/main" id="{D61D38C4-DDEC-47EC-9210-4F5AC4B07912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" name="Line 230">
            <a:extLst>
              <a:ext uri="{FF2B5EF4-FFF2-40B4-BE49-F238E27FC236}">
                <a16:creationId xmlns:a16="http://schemas.microsoft.com/office/drawing/2014/main" id="{B038BD64-5618-4A54-B012-2618055391CE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200025</xdr:colOff>
      <xdr:row>11</xdr:row>
      <xdr:rowOff>0</xdr:rowOff>
    </xdr:from>
    <xdr:to>
      <xdr:col>33</xdr:col>
      <xdr:colOff>95250</xdr:colOff>
      <xdr:row>12</xdr:row>
      <xdr:rowOff>0</xdr:rowOff>
    </xdr:to>
    <xdr:grpSp>
      <xdr:nvGrpSpPr>
        <xdr:cNvPr id="20" name="Group 231">
          <a:extLst>
            <a:ext uri="{FF2B5EF4-FFF2-40B4-BE49-F238E27FC236}">
              <a16:creationId xmlns:a16="http://schemas.microsoft.com/office/drawing/2014/main" id="{B311B6BC-392D-4BE7-A88C-E77F429A81CE}"/>
            </a:ext>
          </a:extLst>
        </xdr:cNvPr>
        <xdr:cNvGrpSpPr>
          <a:grpSpLocks/>
        </xdr:cNvGrpSpPr>
      </xdr:nvGrpSpPr>
      <xdr:grpSpPr bwMode="auto">
        <a:xfrm>
          <a:off x="9488055" y="2440709"/>
          <a:ext cx="2600036" cy="205509"/>
          <a:chOff x="1073" y="224"/>
          <a:chExt cx="267" cy="22"/>
        </a:xfrm>
      </xdr:grpSpPr>
      <xdr:grpSp>
        <xdr:nvGrpSpPr>
          <xdr:cNvPr id="21" name="Group 232">
            <a:extLst>
              <a:ext uri="{FF2B5EF4-FFF2-40B4-BE49-F238E27FC236}">
                <a16:creationId xmlns:a16="http://schemas.microsoft.com/office/drawing/2014/main" id="{DACD944B-DB36-4195-8BA7-912ECA087C3F}"/>
              </a:ext>
            </a:extLst>
          </xdr:cNvPr>
          <xdr:cNvGrpSpPr>
            <a:grpSpLocks/>
          </xdr:cNvGrpSpPr>
        </xdr:nvGrpSpPr>
        <xdr:grpSpPr bwMode="auto">
          <a:xfrm>
            <a:off x="1092" y="224"/>
            <a:ext cx="231" cy="22"/>
            <a:chOff x="1092" y="224"/>
            <a:chExt cx="204" cy="22"/>
          </a:xfrm>
        </xdr:grpSpPr>
        <xdr:sp macro="" textlink="">
          <xdr:nvSpPr>
            <xdr:cNvPr id="23" name="Line 233">
              <a:extLst>
                <a:ext uri="{FF2B5EF4-FFF2-40B4-BE49-F238E27FC236}">
                  <a16:creationId xmlns:a16="http://schemas.microsoft.com/office/drawing/2014/main" id="{C1207054-90DE-456B-AB39-F2123725F11E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3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" name="Line 234">
              <a:extLst>
                <a:ext uri="{FF2B5EF4-FFF2-40B4-BE49-F238E27FC236}">
                  <a16:creationId xmlns:a16="http://schemas.microsoft.com/office/drawing/2014/main" id="{578653EF-869F-409B-8642-3382CA4B5B3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55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235">
              <a:extLst>
                <a:ext uri="{FF2B5EF4-FFF2-40B4-BE49-F238E27FC236}">
                  <a16:creationId xmlns:a16="http://schemas.microsoft.com/office/drawing/2014/main" id="{C8A75A2E-6CF6-4D83-9B24-DA30C0C3DDC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27" y="224"/>
              <a:ext cx="23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" name="Line 236">
              <a:extLst>
                <a:ext uri="{FF2B5EF4-FFF2-40B4-BE49-F238E27FC236}">
                  <a16:creationId xmlns:a16="http://schemas.microsoft.com/office/drawing/2014/main" id="{833B5A50-BEAD-4FB2-BF1F-8F6201873B5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61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237">
              <a:extLst>
                <a:ext uri="{FF2B5EF4-FFF2-40B4-BE49-F238E27FC236}">
                  <a16:creationId xmlns:a16="http://schemas.microsoft.com/office/drawing/2014/main" id="{AA0001C0-14C8-46A6-B756-E54465834332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92" y="224"/>
              <a:ext cx="24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Rectangle 238">
              <a:extLst>
                <a:ext uri="{FF2B5EF4-FFF2-40B4-BE49-F238E27FC236}">
                  <a16:creationId xmlns:a16="http://schemas.microsoft.com/office/drawing/2014/main" id="{8EA20477-49AB-407B-A9FE-ECC46590DB7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92" y="224"/>
              <a:ext cx="204" cy="22"/>
            </a:xfrm>
            <a:prstGeom prst="rect">
              <a:avLst/>
            </a:prstGeom>
            <a:noFill/>
            <a:ln w="63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9" name="Line 239">
              <a:extLst>
                <a:ext uri="{FF2B5EF4-FFF2-40B4-BE49-F238E27FC236}">
                  <a16:creationId xmlns:a16="http://schemas.microsoft.com/office/drawing/2014/main" id="{DB306C20-CB57-4E0F-A26F-4C23CF8A3832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15" y="224"/>
              <a:ext cx="46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" name="Line 240">
              <a:extLst>
                <a:ext uri="{FF2B5EF4-FFF2-40B4-BE49-F238E27FC236}">
                  <a16:creationId xmlns:a16="http://schemas.microsoft.com/office/drawing/2014/main" id="{214FCE55-116D-4FE8-B0A3-D27076E5359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77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" name="Line 241">
              <a:extLst>
                <a:ext uri="{FF2B5EF4-FFF2-40B4-BE49-F238E27FC236}">
                  <a16:creationId xmlns:a16="http://schemas.microsoft.com/office/drawing/2014/main" id="{684F0B82-9911-4484-9D28-FB489784643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13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" name="Line 242">
              <a:extLst>
                <a:ext uri="{FF2B5EF4-FFF2-40B4-BE49-F238E27FC236}">
                  <a16:creationId xmlns:a16="http://schemas.microsoft.com/office/drawing/2014/main" id="{1511450A-FB56-4D8E-8D0A-3BFC7BB17D7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47" y="224"/>
              <a:ext cx="22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" name="Line 243">
              <a:extLst>
                <a:ext uri="{FF2B5EF4-FFF2-40B4-BE49-F238E27FC236}">
                  <a16:creationId xmlns:a16="http://schemas.microsoft.com/office/drawing/2014/main" id="{91BCA3A1-0508-4791-97AD-44B71C80C91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80" y="238"/>
              <a:ext cx="16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" name="Line 244">
              <a:extLst>
                <a:ext uri="{FF2B5EF4-FFF2-40B4-BE49-F238E27FC236}">
                  <a16:creationId xmlns:a16="http://schemas.microsoft.com/office/drawing/2014/main" id="{B5E0915B-5BB7-4292-B19C-3188CB8CBEF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2" y="224"/>
              <a:ext cx="1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2" name="Line 245">
            <a:extLst>
              <a:ext uri="{FF2B5EF4-FFF2-40B4-BE49-F238E27FC236}">
                <a16:creationId xmlns:a16="http://schemas.microsoft.com/office/drawing/2014/main" id="{92207138-207D-4A51-A359-6D507C967ED8}"/>
              </a:ext>
            </a:extLst>
          </xdr:cNvPr>
          <xdr:cNvSpPr>
            <a:spLocks noChangeShapeType="1"/>
          </xdr:cNvSpPr>
        </xdr:nvSpPr>
        <xdr:spPr bwMode="auto">
          <a:xfrm>
            <a:off x="1073" y="246"/>
            <a:ext cx="26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85725</xdr:colOff>
      <xdr:row>6</xdr:row>
      <xdr:rowOff>85725</xdr:rowOff>
    </xdr:from>
    <xdr:to>
      <xdr:col>29</xdr:col>
      <xdr:colOff>142875</xdr:colOff>
      <xdr:row>7</xdr:row>
      <xdr:rowOff>152400</xdr:rowOff>
    </xdr:to>
    <xdr:grpSp>
      <xdr:nvGrpSpPr>
        <xdr:cNvPr id="35" name="Group 254">
          <a:extLst>
            <a:ext uri="{FF2B5EF4-FFF2-40B4-BE49-F238E27FC236}">
              <a16:creationId xmlns:a16="http://schemas.microsoft.com/office/drawing/2014/main" id="{76C0464C-52A9-4A80-A1AB-B7E4D737BFB8}"/>
            </a:ext>
          </a:extLst>
        </xdr:cNvPr>
        <xdr:cNvGrpSpPr>
          <a:grpSpLocks/>
        </xdr:cNvGrpSpPr>
      </xdr:nvGrpSpPr>
      <xdr:grpSpPr bwMode="auto">
        <a:xfrm>
          <a:off x="9372600" y="1500909"/>
          <a:ext cx="1496291" cy="272473"/>
          <a:chOff x="998" y="129"/>
          <a:chExt cx="158" cy="28"/>
        </a:xfrm>
      </xdr:grpSpPr>
      <xdr:grpSp>
        <xdr:nvGrpSpPr>
          <xdr:cNvPr id="36" name="Group 255">
            <a:extLst>
              <a:ext uri="{FF2B5EF4-FFF2-40B4-BE49-F238E27FC236}">
                <a16:creationId xmlns:a16="http://schemas.microsoft.com/office/drawing/2014/main" id="{7FDDDFEE-FCF6-42DA-B278-025D90BD3974}"/>
              </a:ext>
            </a:extLst>
          </xdr:cNvPr>
          <xdr:cNvGrpSpPr>
            <a:grpSpLocks/>
          </xdr:cNvGrpSpPr>
        </xdr:nvGrpSpPr>
        <xdr:grpSpPr bwMode="auto">
          <a:xfrm>
            <a:off x="1131" y="129"/>
            <a:ext cx="25" cy="13"/>
            <a:chOff x="1141" y="147"/>
            <a:chExt cx="25" cy="13"/>
          </a:xfrm>
        </xdr:grpSpPr>
        <xdr:sp macro="" textlink="">
          <xdr:nvSpPr>
            <xdr:cNvPr id="40" name="Line 256">
              <a:extLst>
                <a:ext uri="{FF2B5EF4-FFF2-40B4-BE49-F238E27FC236}">
                  <a16:creationId xmlns:a16="http://schemas.microsoft.com/office/drawing/2014/main" id="{60DEC361-9014-4031-830D-CA1BFE599E0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51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" name="Line 257">
              <a:extLst>
                <a:ext uri="{FF2B5EF4-FFF2-40B4-BE49-F238E27FC236}">
                  <a16:creationId xmlns:a16="http://schemas.microsoft.com/office/drawing/2014/main" id="{B880C824-8912-4AAD-B3F7-CB7760FDC04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6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" name="Line 258">
              <a:extLst>
                <a:ext uri="{FF2B5EF4-FFF2-40B4-BE49-F238E27FC236}">
                  <a16:creationId xmlns:a16="http://schemas.microsoft.com/office/drawing/2014/main" id="{CACF744E-1BFE-45DD-A639-EC2B6BD11C5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47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" name="Line 259">
              <a:extLst>
                <a:ext uri="{FF2B5EF4-FFF2-40B4-BE49-F238E27FC236}">
                  <a16:creationId xmlns:a16="http://schemas.microsoft.com/office/drawing/2014/main" id="{D94F3949-0FA4-43F3-A5B5-CEEEB4EEBEA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60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37" name="Group 260">
            <a:extLst>
              <a:ext uri="{FF2B5EF4-FFF2-40B4-BE49-F238E27FC236}">
                <a16:creationId xmlns:a16="http://schemas.microsoft.com/office/drawing/2014/main" id="{935B6F6C-835E-4F2B-8505-955A083CC02A}"/>
              </a:ext>
            </a:extLst>
          </xdr:cNvPr>
          <xdr:cNvGrpSpPr>
            <a:grpSpLocks/>
          </xdr:cNvGrpSpPr>
        </xdr:nvGrpSpPr>
        <xdr:grpSpPr bwMode="auto">
          <a:xfrm>
            <a:off x="998" y="131"/>
            <a:ext cx="122" cy="26"/>
            <a:chOff x="1025" y="125"/>
            <a:chExt cx="122" cy="26"/>
          </a:xfrm>
        </xdr:grpSpPr>
        <xdr:sp macro="" textlink="">
          <xdr:nvSpPr>
            <xdr:cNvPr id="38" name="Line 261">
              <a:extLst>
                <a:ext uri="{FF2B5EF4-FFF2-40B4-BE49-F238E27FC236}">
                  <a16:creationId xmlns:a16="http://schemas.microsoft.com/office/drawing/2014/main" id="{3A0292C5-EB3E-40F5-9050-A0AFAF32CCCC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25" y="126"/>
              <a:ext cx="20" cy="25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262">
              <a:extLst>
                <a:ext uri="{FF2B5EF4-FFF2-40B4-BE49-F238E27FC236}">
                  <a16:creationId xmlns:a16="http://schemas.microsoft.com/office/drawing/2014/main" id="{1391BA24-3567-4128-95B9-06FD41DD508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6" y="125"/>
              <a:ext cx="101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 type="triangle" w="sm" len="sm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34</xdr:col>
      <xdr:colOff>19050</xdr:colOff>
      <xdr:row>9</xdr:row>
      <xdr:rowOff>19050</xdr:rowOff>
    </xdr:from>
    <xdr:to>
      <xdr:col>34</xdr:col>
      <xdr:colOff>47625</xdr:colOff>
      <xdr:row>30</xdr:row>
      <xdr:rowOff>0</xdr:rowOff>
    </xdr:to>
    <xdr:grpSp>
      <xdr:nvGrpSpPr>
        <xdr:cNvPr id="44" name="Group 263">
          <a:extLst>
            <a:ext uri="{FF2B5EF4-FFF2-40B4-BE49-F238E27FC236}">
              <a16:creationId xmlns:a16="http://schemas.microsoft.com/office/drawing/2014/main" id="{70B6F0EC-D2E1-40AE-95DE-9A6A12D5F6F5}"/>
            </a:ext>
          </a:extLst>
        </xdr:cNvPr>
        <xdr:cNvGrpSpPr>
          <a:grpSpLocks/>
        </xdr:cNvGrpSpPr>
      </xdr:nvGrpSpPr>
      <xdr:grpSpPr bwMode="auto">
        <a:xfrm>
          <a:off x="12288982" y="2048164"/>
          <a:ext cx="30018" cy="4336472"/>
          <a:chOff x="12065374" y="1767168"/>
          <a:chExt cx="28575" cy="4272803"/>
        </a:xfrm>
      </xdr:grpSpPr>
      <xdr:sp macro="" textlink="">
        <xdr:nvSpPr>
          <xdr:cNvPr id="45" name="Line 264">
            <a:extLst>
              <a:ext uri="{FF2B5EF4-FFF2-40B4-BE49-F238E27FC236}">
                <a16:creationId xmlns:a16="http://schemas.microsoft.com/office/drawing/2014/main" id="{3FE10B25-DC25-40D0-8A66-D912D6D60108}"/>
              </a:ext>
            </a:extLst>
          </xdr:cNvPr>
          <xdr:cNvSpPr>
            <a:spLocks noChangeShapeType="1"/>
          </xdr:cNvSpPr>
        </xdr:nvSpPr>
        <xdr:spPr bwMode="auto">
          <a:xfrm flipV="1">
            <a:off x="1324" y="223"/>
            <a:ext cx="0" cy="225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Line 265">
            <a:extLst>
              <a:ext uri="{FF2B5EF4-FFF2-40B4-BE49-F238E27FC236}">
                <a16:creationId xmlns:a16="http://schemas.microsoft.com/office/drawing/2014/main" id="{EA41C1F0-DF93-4462-ACBD-89D58EA94A8D}"/>
              </a:ext>
            </a:extLst>
          </xdr:cNvPr>
          <xdr:cNvSpPr>
            <a:spLocks noChangeShapeType="1"/>
          </xdr:cNvSpPr>
        </xdr:nvSpPr>
        <xdr:spPr bwMode="auto">
          <a:xfrm>
            <a:off x="1324" y="486"/>
            <a:ext cx="0" cy="227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28</xdr:col>
      <xdr:colOff>57150</xdr:colOff>
      <xdr:row>32</xdr:row>
      <xdr:rowOff>0</xdr:rowOff>
    </xdr:from>
    <xdr:to>
      <xdr:col>29</xdr:col>
      <xdr:colOff>76200</xdr:colOff>
      <xdr:row>32</xdr:row>
      <xdr:rowOff>161925</xdr:rowOff>
    </xdr:to>
    <xdr:grpSp>
      <xdr:nvGrpSpPr>
        <xdr:cNvPr id="47" name="Group 266">
          <a:extLst>
            <a:ext uri="{FF2B5EF4-FFF2-40B4-BE49-F238E27FC236}">
              <a16:creationId xmlns:a16="http://schemas.microsoft.com/office/drawing/2014/main" id="{FE880871-BF8F-4A98-8572-42F420DD43A8}"/>
            </a:ext>
          </a:extLst>
        </xdr:cNvPr>
        <xdr:cNvGrpSpPr>
          <a:grpSpLocks/>
        </xdr:cNvGrpSpPr>
      </xdr:nvGrpSpPr>
      <xdr:grpSpPr bwMode="auto">
        <a:xfrm>
          <a:off x="10621818" y="6795655"/>
          <a:ext cx="180109" cy="166255"/>
          <a:chOff x="1146" y="785"/>
          <a:chExt cx="19" cy="17"/>
        </a:xfrm>
      </xdr:grpSpPr>
      <xdr:sp macro="" textlink="">
        <xdr:nvSpPr>
          <xdr:cNvPr id="48" name="Line 267">
            <a:extLst>
              <a:ext uri="{FF2B5EF4-FFF2-40B4-BE49-F238E27FC236}">
                <a16:creationId xmlns:a16="http://schemas.microsoft.com/office/drawing/2014/main" id="{67ECEC4B-AADD-4868-9D40-75AFCB11311D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9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268">
            <a:extLst>
              <a:ext uri="{FF2B5EF4-FFF2-40B4-BE49-F238E27FC236}">
                <a16:creationId xmlns:a16="http://schemas.microsoft.com/office/drawing/2014/main" id="{49546B71-C0E0-4E8F-A5B8-EAF334B9ED46}"/>
              </a:ext>
            </a:extLst>
          </xdr:cNvPr>
          <xdr:cNvSpPr>
            <a:spLocks noChangeShapeType="1"/>
          </xdr:cNvSpPr>
        </xdr:nvSpPr>
        <xdr:spPr bwMode="auto">
          <a:xfrm flipV="1">
            <a:off x="1160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269">
            <a:extLst>
              <a:ext uri="{FF2B5EF4-FFF2-40B4-BE49-F238E27FC236}">
                <a16:creationId xmlns:a16="http://schemas.microsoft.com/office/drawing/2014/main" id="{44741040-5AC0-499F-B6B4-793DA24C181F}"/>
              </a:ext>
            </a:extLst>
          </xdr:cNvPr>
          <xdr:cNvSpPr>
            <a:spLocks noChangeShapeType="1"/>
          </xdr:cNvSpPr>
        </xdr:nvSpPr>
        <xdr:spPr bwMode="auto">
          <a:xfrm>
            <a:off x="1146" y="802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270">
            <a:extLst>
              <a:ext uri="{FF2B5EF4-FFF2-40B4-BE49-F238E27FC236}">
                <a16:creationId xmlns:a16="http://schemas.microsoft.com/office/drawing/2014/main" id="{95EFB316-A56F-4087-953F-E778AD6360CE}"/>
              </a:ext>
            </a:extLst>
          </xdr:cNvPr>
          <xdr:cNvSpPr>
            <a:spLocks noChangeShapeType="1"/>
          </xdr:cNvSpPr>
        </xdr:nvSpPr>
        <xdr:spPr bwMode="auto">
          <a:xfrm>
            <a:off x="1146" y="797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29</xdr:col>
      <xdr:colOff>142875</xdr:colOff>
      <xdr:row>32</xdr:row>
      <xdr:rowOff>57150</xdr:rowOff>
    </xdr:from>
    <xdr:to>
      <xdr:col>31</xdr:col>
      <xdr:colOff>190500</xdr:colOff>
      <xdr:row>32</xdr:row>
      <xdr:rowOff>133350</xdr:rowOff>
    </xdr:to>
    <xdr:sp macro="" textlink="">
      <xdr:nvSpPr>
        <xdr:cNvPr id="52" name="Line 271">
          <a:extLst>
            <a:ext uri="{FF2B5EF4-FFF2-40B4-BE49-F238E27FC236}">
              <a16:creationId xmlns:a16="http://schemas.microsoft.com/office/drawing/2014/main" id="{E2C93562-730C-42EF-B97B-C75DC0E40BA1}"/>
            </a:ext>
          </a:extLst>
        </xdr:cNvPr>
        <xdr:cNvSpPr>
          <a:spLocks noChangeShapeType="1"/>
        </xdr:cNvSpPr>
      </xdr:nvSpPr>
      <xdr:spPr bwMode="auto">
        <a:xfrm flipH="1" flipV="1">
          <a:off x="10763250" y="6696075"/>
          <a:ext cx="638175" cy="762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28575</xdr:colOff>
      <xdr:row>27</xdr:row>
      <xdr:rowOff>200025</xdr:rowOff>
    </xdr:from>
    <xdr:to>
      <xdr:col>28</xdr:col>
      <xdr:colOff>104775</xdr:colOff>
      <xdr:row>28</xdr:row>
      <xdr:rowOff>180975</xdr:rowOff>
    </xdr:to>
    <xdr:sp macro="" textlink="">
      <xdr:nvSpPr>
        <xdr:cNvPr id="53" name="AutoShape 272">
          <a:extLst>
            <a:ext uri="{FF2B5EF4-FFF2-40B4-BE49-F238E27FC236}">
              <a16:creationId xmlns:a16="http://schemas.microsoft.com/office/drawing/2014/main" id="{262F117F-BC92-4E22-BAD3-B4F0EC7878FF}"/>
            </a:ext>
          </a:extLst>
        </xdr:cNvPr>
        <xdr:cNvSpPr>
          <a:spLocks/>
        </xdr:cNvSpPr>
      </xdr:nvSpPr>
      <xdr:spPr bwMode="auto">
        <a:xfrm>
          <a:off x="10487025" y="5819775"/>
          <a:ext cx="76200" cy="200025"/>
        </a:xfrm>
        <a:prstGeom prst="rightBrace">
          <a:avLst>
            <a:gd name="adj1" fmla="val 21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22</xdr:row>
      <xdr:rowOff>0</xdr:rowOff>
    </xdr:from>
    <xdr:to>
      <xdr:col>28</xdr:col>
      <xdr:colOff>104775</xdr:colOff>
      <xdr:row>27</xdr:row>
      <xdr:rowOff>180975</xdr:rowOff>
    </xdr:to>
    <xdr:sp macro="" textlink="">
      <xdr:nvSpPr>
        <xdr:cNvPr id="54" name="AutoShape 273">
          <a:extLst>
            <a:ext uri="{FF2B5EF4-FFF2-40B4-BE49-F238E27FC236}">
              <a16:creationId xmlns:a16="http://schemas.microsoft.com/office/drawing/2014/main" id="{E9A761B7-3835-4A85-8DE4-8476CEB02D11}"/>
            </a:ext>
          </a:extLst>
        </xdr:cNvPr>
        <xdr:cNvSpPr>
          <a:spLocks/>
        </xdr:cNvSpPr>
      </xdr:nvSpPr>
      <xdr:spPr bwMode="auto">
        <a:xfrm>
          <a:off x="10487025" y="4591050"/>
          <a:ext cx="76200" cy="1209675"/>
        </a:xfrm>
        <a:prstGeom prst="rightBrace">
          <a:avLst>
            <a:gd name="adj1" fmla="val 13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29</xdr:row>
      <xdr:rowOff>9525</xdr:rowOff>
    </xdr:from>
    <xdr:to>
      <xdr:col>28</xdr:col>
      <xdr:colOff>104775</xdr:colOff>
      <xdr:row>29</xdr:row>
      <xdr:rowOff>190500</xdr:rowOff>
    </xdr:to>
    <xdr:sp macro="" textlink="">
      <xdr:nvSpPr>
        <xdr:cNvPr id="55" name="AutoShape 274">
          <a:extLst>
            <a:ext uri="{FF2B5EF4-FFF2-40B4-BE49-F238E27FC236}">
              <a16:creationId xmlns:a16="http://schemas.microsoft.com/office/drawing/2014/main" id="{F8335A87-73CE-4B88-A423-427A4FEAC30F}"/>
            </a:ext>
          </a:extLst>
        </xdr:cNvPr>
        <xdr:cNvSpPr>
          <a:spLocks/>
        </xdr:cNvSpPr>
      </xdr:nvSpPr>
      <xdr:spPr bwMode="auto">
        <a:xfrm>
          <a:off x="10487025" y="6048375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21</xdr:row>
      <xdr:rowOff>9525</xdr:rowOff>
    </xdr:from>
    <xdr:to>
      <xdr:col>28</xdr:col>
      <xdr:colOff>104775</xdr:colOff>
      <xdr:row>21</xdr:row>
      <xdr:rowOff>190500</xdr:rowOff>
    </xdr:to>
    <xdr:sp macro="" textlink="">
      <xdr:nvSpPr>
        <xdr:cNvPr id="56" name="AutoShape 275">
          <a:extLst>
            <a:ext uri="{FF2B5EF4-FFF2-40B4-BE49-F238E27FC236}">
              <a16:creationId xmlns:a16="http://schemas.microsoft.com/office/drawing/2014/main" id="{6DB10B9A-4C96-465A-84A9-39AE0EB696B7}"/>
            </a:ext>
          </a:extLst>
        </xdr:cNvPr>
        <xdr:cNvSpPr>
          <a:spLocks/>
        </xdr:cNvSpPr>
      </xdr:nvSpPr>
      <xdr:spPr bwMode="auto">
        <a:xfrm>
          <a:off x="10487025" y="4400550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200025</xdr:colOff>
      <xdr:row>9</xdr:row>
      <xdr:rowOff>0</xdr:rowOff>
    </xdr:from>
    <xdr:to>
      <xdr:col>24</xdr:col>
      <xdr:colOff>200025</xdr:colOff>
      <xdr:row>30</xdr:row>
      <xdr:rowOff>9525</xdr:rowOff>
    </xdr:to>
    <xdr:sp macro="" textlink="">
      <xdr:nvSpPr>
        <xdr:cNvPr id="57" name="Line 276">
          <a:extLst>
            <a:ext uri="{FF2B5EF4-FFF2-40B4-BE49-F238E27FC236}">
              <a16:creationId xmlns:a16="http://schemas.microsoft.com/office/drawing/2014/main" id="{93FDC7FA-A8F8-48AD-9297-E368A5FA81B5}"/>
            </a:ext>
          </a:extLst>
        </xdr:cNvPr>
        <xdr:cNvSpPr>
          <a:spLocks noChangeShapeType="1"/>
        </xdr:cNvSpPr>
      </xdr:nvSpPr>
      <xdr:spPr bwMode="auto">
        <a:xfrm>
          <a:off x="9382125" y="1990725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85725</xdr:colOff>
      <xdr:row>8</xdr:row>
      <xdr:rowOff>190500</xdr:rowOff>
    </xdr:from>
    <xdr:to>
      <xdr:col>33</xdr:col>
      <xdr:colOff>85725</xdr:colOff>
      <xdr:row>30</xdr:row>
      <xdr:rowOff>0</xdr:rowOff>
    </xdr:to>
    <xdr:sp macro="" textlink="">
      <xdr:nvSpPr>
        <xdr:cNvPr id="58" name="Line 277">
          <a:extLst>
            <a:ext uri="{FF2B5EF4-FFF2-40B4-BE49-F238E27FC236}">
              <a16:creationId xmlns:a16="http://schemas.microsoft.com/office/drawing/2014/main" id="{2297E3DB-21EA-45CD-B1C0-240595CE45A6}"/>
            </a:ext>
          </a:extLst>
        </xdr:cNvPr>
        <xdr:cNvSpPr>
          <a:spLocks noChangeShapeType="1"/>
        </xdr:cNvSpPr>
      </xdr:nvSpPr>
      <xdr:spPr bwMode="auto">
        <a:xfrm>
          <a:off x="11972925" y="1981200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104775</xdr:colOff>
      <xdr:row>13</xdr:row>
      <xdr:rowOff>19050</xdr:rowOff>
    </xdr:from>
    <xdr:to>
      <xdr:col>28</xdr:col>
      <xdr:colOff>123825</xdr:colOff>
      <xdr:row>18</xdr:row>
      <xdr:rowOff>85725</xdr:rowOff>
    </xdr:to>
    <xdr:grpSp>
      <xdr:nvGrpSpPr>
        <xdr:cNvPr id="59" name="Group 278">
          <a:extLst>
            <a:ext uri="{FF2B5EF4-FFF2-40B4-BE49-F238E27FC236}">
              <a16:creationId xmlns:a16="http://schemas.microsoft.com/office/drawing/2014/main" id="{52D1AC9B-BDDB-4578-B8E8-B2612A06249B}"/>
            </a:ext>
          </a:extLst>
        </xdr:cNvPr>
        <xdr:cNvGrpSpPr>
          <a:grpSpLocks/>
        </xdr:cNvGrpSpPr>
      </xdr:nvGrpSpPr>
      <xdr:grpSpPr bwMode="auto">
        <a:xfrm>
          <a:off x="9668164" y="2870200"/>
          <a:ext cx="1020618" cy="1096818"/>
          <a:chOff x="941" y="269"/>
          <a:chExt cx="85" cy="72"/>
        </a:xfrm>
      </xdr:grpSpPr>
      <xdr:sp macro="" textlink="">
        <xdr:nvSpPr>
          <xdr:cNvPr id="60" name="Arc 279">
            <a:extLst>
              <a:ext uri="{FF2B5EF4-FFF2-40B4-BE49-F238E27FC236}">
                <a16:creationId xmlns:a16="http://schemas.microsoft.com/office/drawing/2014/main" id="{E8372DB3-FB75-4686-863D-C73CCB7937DE}"/>
              </a:ext>
            </a:extLst>
          </xdr:cNvPr>
          <xdr:cNvSpPr>
            <a:spLocks/>
          </xdr:cNvSpPr>
        </xdr:nvSpPr>
        <xdr:spPr bwMode="auto">
          <a:xfrm flipV="1">
            <a:off x="953" y="278"/>
            <a:ext cx="32" cy="31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1" name="Line 280">
            <a:extLst>
              <a:ext uri="{FF2B5EF4-FFF2-40B4-BE49-F238E27FC236}">
                <a16:creationId xmlns:a16="http://schemas.microsoft.com/office/drawing/2014/main" id="{565AD3CB-3B8F-4399-8916-0CF6E1C33EA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3" y="331"/>
            <a:ext cx="3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" name="Line 281">
            <a:extLst>
              <a:ext uri="{FF2B5EF4-FFF2-40B4-BE49-F238E27FC236}">
                <a16:creationId xmlns:a16="http://schemas.microsoft.com/office/drawing/2014/main" id="{43438BCD-5031-42AE-B959-04AE6AD7DB51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0" y="331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" name="Line 282">
            <a:extLst>
              <a:ext uri="{FF2B5EF4-FFF2-40B4-BE49-F238E27FC236}">
                <a16:creationId xmlns:a16="http://schemas.microsoft.com/office/drawing/2014/main" id="{177ED975-B94A-453A-8030-736830D02A7B}"/>
              </a:ext>
            </a:extLst>
          </xdr:cNvPr>
          <xdr:cNvSpPr>
            <a:spLocks noChangeShapeType="1"/>
          </xdr:cNvSpPr>
        </xdr:nvSpPr>
        <xdr:spPr bwMode="auto">
          <a:xfrm flipV="1">
            <a:off x="983" y="273"/>
            <a:ext cx="3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" name="Line 283">
            <a:extLst>
              <a:ext uri="{FF2B5EF4-FFF2-40B4-BE49-F238E27FC236}">
                <a16:creationId xmlns:a16="http://schemas.microsoft.com/office/drawing/2014/main" id="{BB0FBCE6-D7F4-4E5C-B03E-B7B453C69FB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85" y="273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" name="Oval 284">
            <a:extLst>
              <a:ext uri="{FF2B5EF4-FFF2-40B4-BE49-F238E27FC236}">
                <a16:creationId xmlns:a16="http://schemas.microsoft.com/office/drawing/2014/main" id="{72035971-6458-48A6-8A36-59B28D0B44AD}"/>
              </a:ext>
            </a:extLst>
          </xdr:cNvPr>
          <xdr:cNvSpPr>
            <a:spLocks noChangeArrowheads="1"/>
          </xdr:cNvSpPr>
        </xdr:nvSpPr>
        <xdr:spPr bwMode="auto">
          <a:xfrm>
            <a:off x="984" y="269"/>
            <a:ext cx="2" cy="2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" name="Oval 285">
            <a:extLst>
              <a:ext uri="{FF2B5EF4-FFF2-40B4-BE49-F238E27FC236}">
                <a16:creationId xmlns:a16="http://schemas.microsoft.com/office/drawing/2014/main" id="{E45261CF-AA3F-4D35-A597-5D10B49C2F21}"/>
              </a:ext>
            </a:extLst>
          </xdr:cNvPr>
          <xdr:cNvSpPr>
            <a:spLocks noChangeArrowheads="1"/>
          </xdr:cNvSpPr>
        </xdr:nvSpPr>
        <xdr:spPr bwMode="auto">
          <a:xfrm>
            <a:off x="1021" y="338"/>
            <a:ext cx="4" cy="3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7" name="Freeform 286">
            <a:extLst>
              <a:ext uri="{FF2B5EF4-FFF2-40B4-BE49-F238E27FC236}">
                <a16:creationId xmlns:a16="http://schemas.microsoft.com/office/drawing/2014/main" id="{3169CC81-F884-4072-B618-79160D8F0C02}"/>
              </a:ext>
            </a:extLst>
          </xdr:cNvPr>
          <xdr:cNvSpPr>
            <a:spLocks/>
          </xdr:cNvSpPr>
        </xdr:nvSpPr>
        <xdr:spPr bwMode="auto">
          <a:xfrm>
            <a:off x="941" y="288"/>
            <a:ext cx="82" cy="49"/>
          </a:xfrm>
          <a:custGeom>
            <a:avLst/>
            <a:gdLst>
              <a:gd name="T0" fmla="*/ 0 w 93"/>
              <a:gd name="T1" fmla="*/ 175 h 45"/>
              <a:gd name="T2" fmla="*/ 4 w 93"/>
              <a:gd name="T3" fmla="*/ 163 h 45"/>
              <a:gd name="T4" fmla="*/ 4 w 93"/>
              <a:gd name="T5" fmla="*/ 115 h 45"/>
              <a:gd name="T6" fmla="*/ 4 w 93"/>
              <a:gd name="T7" fmla="*/ 5 h 45"/>
              <a:gd name="T8" fmla="*/ 4 w 93"/>
              <a:gd name="T9" fmla="*/ 0 h 45"/>
              <a:gd name="T10" fmla="*/ 4 w 93"/>
              <a:gd name="T11" fmla="*/ 63 h 45"/>
              <a:gd name="T12" fmla="*/ 4 w 93"/>
              <a:gd name="T13" fmla="*/ 125 h 45"/>
              <a:gd name="T14" fmla="*/ 4 w 93"/>
              <a:gd name="T15" fmla="*/ 210 h 45"/>
              <a:gd name="T16" fmla="*/ 4 w 93"/>
              <a:gd name="T17" fmla="*/ 381 h 45"/>
              <a:gd name="T18" fmla="*/ 4 w 93"/>
              <a:gd name="T19" fmla="*/ 375 h 45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93"/>
              <a:gd name="T31" fmla="*/ 0 h 45"/>
              <a:gd name="T32" fmla="*/ 93 w 93"/>
              <a:gd name="T33" fmla="*/ 45 h 45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93" h="45">
                <a:moveTo>
                  <a:pt x="0" y="19"/>
                </a:moveTo>
                <a:cubicBezTo>
                  <a:pt x="8" y="19"/>
                  <a:pt x="17" y="19"/>
                  <a:pt x="25" y="18"/>
                </a:cubicBezTo>
                <a:cubicBezTo>
                  <a:pt x="33" y="17"/>
                  <a:pt x="43" y="15"/>
                  <a:pt x="49" y="13"/>
                </a:cubicBezTo>
                <a:cubicBezTo>
                  <a:pt x="55" y="11"/>
                  <a:pt x="56" y="7"/>
                  <a:pt x="60" y="5"/>
                </a:cubicBezTo>
                <a:cubicBezTo>
                  <a:pt x="64" y="3"/>
                  <a:pt x="70" y="0"/>
                  <a:pt x="74" y="0"/>
                </a:cubicBezTo>
                <a:cubicBezTo>
                  <a:pt x="78" y="0"/>
                  <a:pt x="84" y="4"/>
                  <a:pt x="87" y="6"/>
                </a:cubicBezTo>
                <a:cubicBezTo>
                  <a:pt x="90" y="8"/>
                  <a:pt x="91" y="11"/>
                  <a:pt x="92" y="14"/>
                </a:cubicBezTo>
                <a:cubicBezTo>
                  <a:pt x="93" y="17"/>
                  <a:pt x="93" y="19"/>
                  <a:pt x="93" y="24"/>
                </a:cubicBezTo>
                <a:cubicBezTo>
                  <a:pt x="93" y="29"/>
                  <a:pt x="93" y="39"/>
                  <a:pt x="93" y="42"/>
                </a:cubicBezTo>
                <a:cubicBezTo>
                  <a:pt x="93" y="45"/>
                  <a:pt x="93" y="42"/>
                  <a:pt x="93" y="4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228600</xdr:colOff>
      <xdr:row>29</xdr:row>
      <xdr:rowOff>180975</xdr:rowOff>
    </xdr:from>
    <xdr:to>
      <xdr:col>33</xdr:col>
      <xdr:colOff>104775</xdr:colOff>
      <xdr:row>31</xdr:row>
      <xdr:rowOff>171450</xdr:rowOff>
    </xdr:to>
    <xdr:grpSp>
      <xdr:nvGrpSpPr>
        <xdr:cNvPr id="68" name="Group 287">
          <a:extLst>
            <a:ext uri="{FF2B5EF4-FFF2-40B4-BE49-F238E27FC236}">
              <a16:creationId xmlns:a16="http://schemas.microsoft.com/office/drawing/2014/main" id="{A166BADC-9BED-4BBA-B36F-6800D1391876}"/>
            </a:ext>
          </a:extLst>
        </xdr:cNvPr>
        <xdr:cNvGrpSpPr>
          <a:grpSpLocks/>
        </xdr:cNvGrpSpPr>
      </xdr:nvGrpSpPr>
      <xdr:grpSpPr bwMode="auto">
        <a:xfrm rot="10800000">
          <a:off x="9515764" y="6363854"/>
          <a:ext cx="2581563" cy="401782"/>
          <a:chOff x="1010" y="143"/>
          <a:chExt cx="265" cy="41"/>
        </a:xfrm>
      </xdr:grpSpPr>
      <xdr:sp macro="" textlink="">
        <xdr:nvSpPr>
          <xdr:cNvPr id="69" name="Arc 288">
            <a:extLst>
              <a:ext uri="{FF2B5EF4-FFF2-40B4-BE49-F238E27FC236}">
                <a16:creationId xmlns:a16="http://schemas.microsoft.com/office/drawing/2014/main" id="{173BABA0-C484-4C4B-A41F-0CAE0C59AF14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" name="Arc 289">
            <a:extLst>
              <a:ext uri="{FF2B5EF4-FFF2-40B4-BE49-F238E27FC236}">
                <a16:creationId xmlns:a16="http://schemas.microsoft.com/office/drawing/2014/main" id="{F19FB59E-FC70-4B6A-9A17-B66AAC0DE27A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1" name="Line 290">
            <a:extLst>
              <a:ext uri="{FF2B5EF4-FFF2-40B4-BE49-F238E27FC236}">
                <a16:creationId xmlns:a16="http://schemas.microsoft.com/office/drawing/2014/main" id="{51E3B69E-20D3-4604-A20D-B2D99B1CA8C0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85725</xdr:colOff>
      <xdr:row>15</xdr:row>
      <xdr:rowOff>104775</xdr:rowOff>
    </xdr:from>
    <xdr:to>
      <xdr:col>63</xdr:col>
      <xdr:colOff>190500</xdr:colOff>
      <xdr:row>16</xdr:row>
      <xdr:rowOff>95250</xdr:rowOff>
    </xdr:to>
    <xdr:grpSp>
      <xdr:nvGrpSpPr>
        <xdr:cNvPr id="72" name="Group 205">
          <a:extLst>
            <a:ext uri="{FF2B5EF4-FFF2-40B4-BE49-F238E27FC236}">
              <a16:creationId xmlns:a16="http://schemas.microsoft.com/office/drawing/2014/main" id="{D6FA82FD-686B-458D-86BF-64BA3C235D10}"/>
            </a:ext>
          </a:extLst>
        </xdr:cNvPr>
        <xdr:cNvGrpSpPr>
          <a:grpSpLocks/>
        </xdr:cNvGrpSpPr>
      </xdr:nvGrpSpPr>
      <xdr:grpSpPr bwMode="auto">
        <a:xfrm>
          <a:off x="23628927" y="3368963"/>
          <a:ext cx="106219" cy="196274"/>
          <a:chOff x="999" y="386"/>
          <a:chExt cx="11" cy="20"/>
        </a:xfrm>
      </xdr:grpSpPr>
      <xdr:sp macro="" textlink="">
        <xdr:nvSpPr>
          <xdr:cNvPr id="73" name="Line 206">
            <a:extLst>
              <a:ext uri="{FF2B5EF4-FFF2-40B4-BE49-F238E27FC236}">
                <a16:creationId xmlns:a16="http://schemas.microsoft.com/office/drawing/2014/main" id="{58EAD937-24F4-4D6B-A1AC-6A06B4CF7675}"/>
              </a:ext>
            </a:extLst>
          </xdr:cNvPr>
          <xdr:cNvSpPr>
            <a:spLocks noChangeShapeType="1"/>
          </xdr:cNvSpPr>
        </xdr:nvSpPr>
        <xdr:spPr bwMode="auto">
          <a:xfrm flipH="1">
            <a:off x="1004" y="390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" name="Line 207">
            <a:extLst>
              <a:ext uri="{FF2B5EF4-FFF2-40B4-BE49-F238E27FC236}">
                <a16:creationId xmlns:a16="http://schemas.microsoft.com/office/drawing/2014/main" id="{21895CAB-637B-4CC5-AFF2-725CA7BCC582}"/>
              </a:ext>
            </a:extLst>
          </xdr:cNvPr>
          <xdr:cNvSpPr>
            <a:spLocks noChangeShapeType="1"/>
          </xdr:cNvSpPr>
        </xdr:nvSpPr>
        <xdr:spPr bwMode="auto">
          <a:xfrm>
            <a:off x="1004" y="404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" name="Line 208">
            <a:extLst>
              <a:ext uri="{FF2B5EF4-FFF2-40B4-BE49-F238E27FC236}">
                <a16:creationId xmlns:a16="http://schemas.microsoft.com/office/drawing/2014/main" id="{1716CAD8-F4A7-46C8-8CEF-4D3A3B20625E}"/>
              </a:ext>
            </a:extLst>
          </xdr:cNvPr>
          <xdr:cNvSpPr>
            <a:spLocks noChangeShapeType="1"/>
          </xdr:cNvSpPr>
        </xdr:nvSpPr>
        <xdr:spPr bwMode="auto">
          <a:xfrm>
            <a:off x="999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209">
            <a:extLst>
              <a:ext uri="{FF2B5EF4-FFF2-40B4-BE49-F238E27FC236}">
                <a16:creationId xmlns:a16="http://schemas.microsoft.com/office/drawing/2014/main" id="{AAC58DDD-4875-4326-AB14-CEE90B29A755}"/>
              </a:ext>
            </a:extLst>
          </xdr:cNvPr>
          <xdr:cNvSpPr>
            <a:spLocks noChangeShapeType="1"/>
          </xdr:cNvSpPr>
        </xdr:nvSpPr>
        <xdr:spPr bwMode="auto">
          <a:xfrm>
            <a:off x="1003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61</xdr:col>
      <xdr:colOff>9525</xdr:colOff>
      <xdr:row>9</xdr:row>
      <xdr:rowOff>9525</xdr:rowOff>
    </xdr:from>
    <xdr:to>
      <xdr:col>61</xdr:col>
      <xdr:colOff>9525</xdr:colOff>
      <xdr:row>11</xdr:row>
      <xdr:rowOff>9525</xdr:rowOff>
    </xdr:to>
    <xdr:sp macro="" textlink="">
      <xdr:nvSpPr>
        <xdr:cNvPr id="77" name="Line 211">
          <a:extLst>
            <a:ext uri="{FF2B5EF4-FFF2-40B4-BE49-F238E27FC236}">
              <a16:creationId xmlns:a16="http://schemas.microsoft.com/office/drawing/2014/main" id="{8A7B93B9-15FC-4A46-9978-7781CA2FE9C6}"/>
            </a:ext>
          </a:extLst>
        </xdr:cNvPr>
        <xdr:cNvSpPr>
          <a:spLocks noChangeShapeType="1"/>
        </xdr:cNvSpPr>
      </xdr:nvSpPr>
      <xdr:spPr bwMode="auto">
        <a:xfrm flipH="1">
          <a:off x="22869525" y="2000250"/>
          <a:ext cx="0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11</xdr:row>
      <xdr:rowOff>0</xdr:rowOff>
    </xdr:from>
    <xdr:to>
      <xdr:col>61</xdr:col>
      <xdr:colOff>9525</xdr:colOff>
      <xdr:row>12</xdr:row>
      <xdr:rowOff>9525</xdr:rowOff>
    </xdr:to>
    <xdr:sp macro="" textlink="">
      <xdr:nvSpPr>
        <xdr:cNvPr id="78" name="Line 212">
          <a:extLst>
            <a:ext uri="{FF2B5EF4-FFF2-40B4-BE49-F238E27FC236}">
              <a16:creationId xmlns:a16="http://schemas.microsoft.com/office/drawing/2014/main" id="{E38CF8F0-784F-4D9B-84F4-906269F90BD9}"/>
            </a:ext>
          </a:extLst>
        </xdr:cNvPr>
        <xdr:cNvSpPr>
          <a:spLocks noChangeShapeType="1"/>
        </xdr:cNvSpPr>
      </xdr:nvSpPr>
      <xdr:spPr bwMode="auto">
        <a:xfrm>
          <a:off x="22869525" y="2390775"/>
          <a:ext cx="0" cy="2095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12</xdr:row>
      <xdr:rowOff>19050</xdr:rowOff>
    </xdr:from>
    <xdr:to>
      <xdr:col>61</xdr:col>
      <xdr:colOff>9525</xdr:colOff>
      <xdr:row>16</xdr:row>
      <xdr:rowOff>9525</xdr:rowOff>
    </xdr:to>
    <xdr:sp macro="" textlink="">
      <xdr:nvSpPr>
        <xdr:cNvPr id="79" name="Line 213">
          <a:extLst>
            <a:ext uri="{FF2B5EF4-FFF2-40B4-BE49-F238E27FC236}">
              <a16:creationId xmlns:a16="http://schemas.microsoft.com/office/drawing/2014/main" id="{373FD62C-A034-466E-B653-91B25DCB0912}"/>
            </a:ext>
          </a:extLst>
        </xdr:cNvPr>
        <xdr:cNvSpPr>
          <a:spLocks noChangeShapeType="1"/>
        </xdr:cNvSpPr>
      </xdr:nvSpPr>
      <xdr:spPr bwMode="auto">
        <a:xfrm>
          <a:off x="22869525" y="2609850"/>
          <a:ext cx="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16</xdr:row>
      <xdr:rowOff>0</xdr:rowOff>
    </xdr:from>
    <xdr:to>
      <xdr:col>61</xdr:col>
      <xdr:colOff>9525</xdr:colOff>
      <xdr:row>30</xdr:row>
      <xdr:rowOff>0</xdr:rowOff>
    </xdr:to>
    <xdr:sp macro="" textlink="">
      <xdr:nvSpPr>
        <xdr:cNvPr id="80" name="Line 217">
          <a:extLst>
            <a:ext uri="{FF2B5EF4-FFF2-40B4-BE49-F238E27FC236}">
              <a16:creationId xmlns:a16="http://schemas.microsoft.com/office/drawing/2014/main" id="{737471F0-9C34-4C4F-A59E-4DC25BF0D8D8}"/>
            </a:ext>
          </a:extLst>
        </xdr:cNvPr>
        <xdr:cNvSpPr>
          <a:spLocks noChangeShapeType="1"/>
        </xdr:cNvSpPr>
      </xdr:nvSpPr>
      <xdr:spPr bwMode="auto">
        <a:xfrm>
          <a:off x="22869525" y="3390900"/>
          <a:ext cx="0" cy="28479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171450</xdr:colOff>
      <xdr:row>9</xdr:row>
      <xdr:rowOff>0</xdr:rowOff>
    </xdr:from>
    <xdr:to>
      <xdr:col>63</xdr:col>
      <xdr:colOff>200025</xdr:colOff>
      <xdr:row>9</xdr:row>
      <xdr:rowOff>0</xdr:rowOff>
    </xdr:to>
    <xdr:sp macro="" textlink="">
      <xdr:nvSpPr>
        <xdr:cNvPr id="81" name="Line 218">
          <a:extLst>
            <a:ext uri="{FF2B5EF4-FFF2-40B4-BE49-F238E27FC236}">
              <a16:creationId xmlns:a16="http://schemas.microsoft.com/office/drawing/2014/main" id="{4DA525B8-42DC-4BC8-8503-BADCC4CE7281}"/>
            </a:ext>
          </a:extLst>
        </xdr:cNvPr>
        <xdr:cNvSpPr>
          <a:spLocks noChangeShapeType="1"/>
        </xdr:cNvSpPr>
      </xdr:nvSpPr>
      <xdr:spPr bwMode="auto">
        <a:xfrm>
          <a:off x="22479000" y="199072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171450</xdr:colOff>
      <xdr:row>12</xdr:row>
      <xdr:rowOff>0</xdr:rowOff>
    </xdr:from>
    <xdr:to>
      <xdr:col>63</xdr:col>
      <xdr:colOff>200025</xdr:colOff>
      <xdr:row>12</xdr:row>
      <xdr:rowOff>0</xdr:rowOff>
    </xdr:to>
    <xdr:sp macro="" textlink="">
      <xdr:nvSpPr>
        <xdr:cNvPr id="82" name="Line 219">
          <a:extLst>
            <a:ext uri="{FF2B5EF4-FFF2-40B4-BE49-F238E27FC236}">
              <a16:creationId xmlns:a16="http://schemas.microsoft.com/office/drawing/2014/main" id="{8D3FA8B7-C747-4391-9B95-63EC87C09CCA}"/>
            </a:ext>
          </a:extLst>
        </xdr:cNvPr>
        <xdr:cNvSpPr>
          <a:spLocks noChangeShapeType="1"/>
        </xdr:cNvSpPr>
      </xdr:nvSpPr>
      <xdr:spPr bwMode="auto">
        <a:xfrm>
          <a:off x="22479000" y="2590800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190500</xdr:colOff>
      <xdr:row>16</xdr:row>
      <xdr:rowOff>0</xdr:rowOff>
    </xdr:from>
    <xdr:to>
      <xdr:col>63</xdr:col>
      <xdr:colOff>104775</xdr:colOff>
      <xdr:row>16</xdr:row>
      <xdr:rowOff>0</xdr:rowOff>
    </xdr:to>
    <xdr:sp macro="" textlink="">
      <xdr:nvSpPr>
        <xdr:cNvPr id="83" name="Line 220">
          <a:extLst>
            <a:ext uri="{FF2B5EF4-FFF2-40B4-BE49-F238E27FC236}">
              <a16:creationId xmlns:a16="http://schemas.microsoft.com/office/drawing/2014/main" id="{091CE7BE-D538-4B97-9499-C189C8384046}"/>
            </a:ext>
          </a:extLst>
        </xdr:cNvPr>
        <xdr:cNvSpPr>
          <a:spLocks noChangeShapeType="1"/>
        </xdr:cNvSpPr>
      </xdr:nvSpPr>
      <xdr:spPr bwMode="auto">
        <a:xfrm>
          <a:off x="22498050" y="3390900"/>
          <a:ext cx="10191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152400</xdr:colOff>
      <xdr:row>30</xdr:row>
      <xdr:rowOff>0</xdr:rowOff>
    </xdr:from>
    <xdr:to>
      <xdr:col>63</xdr:col>
      <xdr:colOff>180975</xdr:colOff>
      <xdr:row>30</xdr:row>
      <xdr:rowOff>0</xdr:rowOff>
    </xdr:to>
    <xdr:sp macro="" textlink="">
      <xdr:nvSpPr>
        <xdr:cNvPr id="84" name="Line 224">
          <a:extLst>
            <a:ext uri="{FF2B5EF4-FFF2-40B4-BE49-F238E27FC236}">
              <a16:creationId xmlns:a16="http://schemas.microsoft.com/office/drawing/2014/main" id="{1915DF77-1E75-42AA-BA5E-132E7E05AC3B}"/>
            </a:ext>
          </a:extLst>
        </xdr:cNvPr>
        <xdr:cNvSpPr>
          <a:spLocks noChangeShapeType="1"/>
        </xdr:cNvSpPr>
      </xdr:nvSpPr>
      <xdr:spPr bwMode="auto">
        <a:xfrm>
          <a:off x="22459950" y="623887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190500</xdr:colOff>
      <xdr:row>11</xdr:row>
      <xdr:rowOff>0</xdr:rowOff>
    </xdr:from>
    <xdr:to>
      <xdr:col>63</xdr:col>
      <xdr:colOff>180975</xdr:colOff>
      <xdr:row>11</xdr:row>
      <xdr:rowOff>0</xdr:rowOff>
    </xdr:to>
    <xdr:sp macro="" textlink="">
      <xdr:nvSpPr>
        <xdr:cNvPr id="85" name="Line 225">
          <a:extLst>
            <a:ext uri="{FF2B5EF4-FFF2-40B4-BE49-F238E27FC236}">
              <a16:creationId xmlns:a16="http://schemas.microsoft.com/office/drawing/2014/main" id="{D04B6121-1541-4439-93A4-1E42E7F8A72E}"/>
            </a:ext>
          </a:extLst>
        </xdr:cNvPr>
        <xdr:cNvSpPr>
          <a:spLocks noChangeShapeType="1"/>
        </xdr:cNvSpPr>
      </xdr:nvSpPr>
      <xdr:spPr bwMode="auto">
        <a:xfrm>
          <a:off x="22498050" y="23907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63</xdr:col>
      <xdr:colOff>209550</xdr:colOff>
      <xdr:row>7</xdr:row>
      <xdr:rowOff>19050</xdr:rowOff>
    </xdr:from>
    <xdr:to>
      <xdr:col>72</xdr:col>
      <xdr:colOff>85725</xdr:colOff>
      <xdr:row>9</xdr:row>
      <xdr:rowOff>9525</xdr:rowOff>
    </xdr:to>
    <xdr:grpSp>
      <xdr:nvGrpSpPr>
        <xdr:cNvPr id="86" name="Group 227">
          <a:extLst>
            <a:ext uri="{FF2B5EF4-FFF2-40B4-BE49-F238E27FC236}">
              <a16:creationId xmlns:a16="http://schemas.microsoft.com/office/drawing/2014/main" id="{E29A383A-356C-4F6D-9CC1-0143C2965BCE}"/>
            </a:ext>
          </a:extLst>
        </xdr:cNvPr>
        <xdr:cNvGrpSpPr>
          <a:grpSpLocks/>
        </xdr:cNvGrpSpPr>
      </xdr:nvGrpSpPr>
      <xdr:grpSpPr bwMode="auto">
        <a:xfrm>
          <a:off x="23753618" y="1637146"/>
          <a:ext cx="2581563" cy="401781"/>
          <a:chOff x="1010" y="143"/>
          <a:chExt cx="265" cy="41"/>
        </a:xfrm>
      </xdr:grpSpPr>
      <xdr:sp macro="" textlink="">
        <xdr:nvSpPr>
          <xdr:cNvPr id="87" name="Arc 228">
            <a:extLst>
              <a:ext uri="{FF2B5EF4-FFF2-40B4-BE49-F238E27FC236}">
                <a16:creationId xmlns:a16="http://schemas.microsoft.com/office/drawing/2014/main" id="{A78DA819-C677-45FE-A479-13C4860CC278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8" name="Arc 229">
            <a:extLst>
              <a:ext uri="{FF2B5EF4-FFF2-40B4-BE49-F238E27FC236}">
                <a16:creationId xmlns:a16="http://schemas.microsoft.com/office/drawing/2014/main" id="{0C6617B7-8B02-459D-8A79-DF4E2EA2B958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9" name="Line 230">
            <a:extLst>
              <a:ext uri="{FF2B5EF4-FFF2-40B4-BE49-F238E27FC236}">
                <a16:creationId xmlns:a16="http://schemas.microsoft.com/office/drawing/2014/main" id="{2EAB4E7A-E953-4261-934B-5FE0164D49C8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200025</xdr:colOff>
      <xdr:row>11</xdr:row>
      <xdr:rowOff>0</xdr:rowOff>
    </xdr:from>
    <xdr:to>
      <xdr:col>72</xdr:col>
      <xdr:colOff>95250</xdr:colOff>
      <xdr:row>12</xdr:row>
      <xdr:rowOff>0</xdr:rowOff>
    </xdr:to>
    <xdr:grpSp>
      <xdr:nvGrpSpPr>
        <xdr:cNvPr id="90" name="Group 231">
          <a:extLst>
            <a:ext uri="{FF2B5EF4-FFF2-40B4-BE49-F238E27FC236}">
              <a16:creationId xmlns:a16="http://schemas.microsoft.com/office/drawing/2014/main" id="{AE1757C8-6077-430B-B19E-DAB4599DDD52}"/>
            </a:ext>
          </a:extLst>
        </xdr:cNvPr>
        <xdr:cNvGrpSpPr>
          <a:grpSpLocks/>
        </xdr:cNvGrpSpPr>
      </xdr:nvGrpSpPr>
      <xdr:grpSpPr bwMode="auto">
        <a:xfrm>
          <a:off x="23744382" y="2440709"/>
          <a:ext cx="2600036" cy="205509"/>
          <a:chOff x="1073" y="224"/>
          <a:chExt cx="267" cy="22"/>
        </a:xfrm>
      </xdr:grpSpPr>
      <xdr:grpSp>
        <xdr:nvGrpSpPr>
          <xdr:cNvPr id="91" name="Group 232">
            <a:extLst>
              <a:ext uri="{FF2B5EF4-FFF2-40B4-BE49-F238E27FC236}">
                <a16:creationId xmlns:a16="http://schemas.microsoft.com/office/drawing/2014/main" id="{EA308954-321E-47F4-80D6-9F071E23722D}"/>
              </a:ext>
            </a:extLst>
          </xdr:cNvPr>
          <xdr:cNvGrpSpPr>
            <a:grpSpLocks/>
          </xdr:cNvGrpSpPr>
        </xdr:nvGrpSpPr>
        <xdr:grpSpPr bwMode="auto">
          <a:xfrm>
            <a:off x="1092" y="224"/>
            <a:ext cx="231" cy="22"/>
            <a:chOff x="1092" y="224"/>
            <a:chExt cx="204" cy="22"/>
          </a:xfrm>
        </xdr:grpSpPr>
        <xdr:sp macro="" textlink="">
          <xdr:nvSpPr>
            <xdr:cNvPr id="93" name="Line 233">
              <a:extLst>
                <a:ext uri="{FF2B5EF4-FFF2-40B4-BE49-F238E27FC236}">
                  <a16:creationId xmlns:a16="http://schemas.microsoft.com/office/drawing/2014/main" id="{36461716-1707-4532-B4DA-B0C89F565D5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3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" name="Line 234">
              <a:extLst>
                <a:ext uri="{FF2B5EF4-FFF2-40B4-BE49-F238E27FC236}">
                  <a16:creationId xmlns:a16="http://schemas.microsoft.com/office/drawing/2014/main" id="{411FE7AA-E220-4B6E-BE78-D509FA4A51F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55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" name="Line 235">
              <a:extLst>
                <a:ext uri="{FF2B5EF4-FFF2-40B4-BE49-F238E27FC236}">
                  <a16:creationId xmlns:a16="http://schemas.microsoft.com/office/drawing/2014/main" id="{178B584B-A518-46C3-AC51-5D22F08BA70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27" y="224"/>
              <a:ext cx="23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" name="Line 236">
              <a:extLst>
                <a:ext uri="{FF2B5EF4-FFF2-40B4-BE49-F238E27FC236}">
                  <a16:creationId xmlns:a16="http://schemas.microsoft.com/office/drawing/2014/main" id="{6C26C709-BFF9-4934-8362-760601E2B37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61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" name="Line 237">
              <a:extLst>
                <a:ext uri="{FF2B5EF4-FFF2-40B4-BE49-F238E27FC236}">
                  <a16:creationId xmlns:a16="http://schemas.microsoft.com/office/drawing/2014/main" id="{7926EB4B-E01C-4AB1-B39D-F6DE76CCDBA2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92" y="224"/>
              <a:ext cx="24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" name="Rectangle 238">
              <a:extLst>
                <a:ext uri="{FF2B5EF4-FFF2-40B4-BE49-F238E27FC236}">
                  <a16:creationId xmlns:a16="http://schemas.microsoft.com/office/drawing/2014/main" id="{7D60FF41-B390-4595-8D52-A89EFBB40DD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92" y="224"/>
              <a:ext cx="204" cy="22"/>
            </a:xfrm>
            <a:prstGeom prst="rect">
              <a:avLst/>
            </a:prstGeom>
            <a:noFill/>
            <a:ln w="63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9" name="Line 239">
              <a:extLst>
                <a:ext uri="{FF2B5EF4-FFF2-40B4-BE49-F238E27FC236}">
                  <a16:creationId xmlns:a16="http://schemas.microsoft.com/office/drawing/2014/main" id="{E16DB940-E302-4069-B701-06A8D9E7A96D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15" y="224"/>
              <a:ext cx="46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" name="Line 240">
              <a:extLst>
                <a:ext uri="{FF2B5EF4-FFF2-40B4-BE49-F238E27FC236}">
                  <a16:creationId xmlns:a16="http://schemas.microsoft.com/office/drawing/2014/main" id="{7DBDECB6-2C72-40C9-9B8D-3EEAD833E85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77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" name="Line 241">
              <a:extLst>
                <a:ext uri="{FF2B5EF4-FFF2-40B4-BE49-F238E27FC236}">
                  <a16:creationId xmlns:a16="http://schemas.microsoft.com/office/drawing/2014/main" id="{981DAE69-BDEF-4DC8-A2EA-8727D712931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13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" name="Line 242">
              <a:extLst>
                <a:ext uri="{FF2B5EF4-FFF2-40B4-BE49-F238E27FC236}">
                  <a16:creationId xmlns:a16="http://schemas.microsoft.com/office/drawing/2014/main" id="{CAF6749E-49AC-4DAA-9ECA-6A279B001FF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47" y="224"/>
              <a:ext cx="22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" name="Line 243">
              <a:extLst>
                <a:ext uri="{FF2B5EF4-FFF2-40B4-BE49-F238E27FC236}">
                  <a16:creationId xmlns:a16="http://schemas.microsoft.com/office/drawing/2014/main" id="{781C3D46-D569-4F9B-BAC0-D2F36B3F339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80" y="238"/>
              <a:ext cx="16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" name="Line 244">
              <a:extLst>
                <a:ext uri="{FF2B5EF4-FFF2-40B4-BE49-F238E27FC236}">
                  <a16:creationId xmlns:a16="http://schemas.microsoft.com/office/drawing/2014/main" id="{D6973512-FC38-46FB-885A-AFA6B058E2D8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2" y="224"/>
              <a:ext cx="1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92" name="Line 245">
            <a:extLst>
              <a:ext uri="{FF2B5EF4-FFF2-40B4-BE49-F238E27FC236}">
                <a16:creationId xmlns:a16="http://schemas.microsoft.com/office/drawing/2014/main" id="{941768AF-C52C-4831-8FF0-5E03FCB869D0}"/>
              </a:ext>
            </a:extLst>
          </xdr:cNvPr>
          <xdr:cNvSpPr>
            <a:spLocks noChangeShapeType="1"/>
          </xdr:cNvSpPr>
        </xdr:nvSpPr>
        <xdr:spPr bwMode="auto">
          <a:xfrm>
            <a:off x="1073" y="246"/>
            <a:ext cx="26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200025</xdr:colOff>
      <xdr:row>8</xdr:row>
      <xdr:rowOff>152400</xdr:rowOff>
    </xdr:from>
    <xdr:to>
      <xdr:col>72</xdr:col>
      <xdr:colOff>85725</xdr:colOff>
      <xdr:row>10</xdr:row>
      <xdr:rowOff>47625</xdr:rowOff>
    </xdr:to>
    <xdr:grpSp>
      <xdr:nvGrpSpPr>
        <xdr:cNvPr id="105" name="Group 249">
          <a:extLst>
            <a:ext uri="{FF2B5EF4-FFF2-40B4-BE49-F238E27FC236}">
              <a16:creationId xmlns:a16="http://schemas.microsoft.com/office/drawing/2014/main" id="{14012F3D-800B-4C25-B849-94DDFFBB2AD3}"/>
            </a:ext>
          </a:extLst>
        </xdr:cNvPr>
        <xdr:cNvGrpSpPr>
          <a:grpSpLocks/>
        </xdr:cNvGrpSpPr>
      </xdr:nvGrpSpPr>
      <xdr:grpSpPr bwMode="auto">
        <a:xfrm>
          <a:off x="23744382" y="1978891"/>
          <a:ext cx="2590799" cy="304800"/>
          <a:chOff x="803" y="645"/>
          <a:chExt cx="203" cy="23"/>
        </a:xfrm>
      </xdr:grpSpPr>
      <xdr:sp macro="" textlink="">
        <xdr:nvSpPr>
          <xdr:cNvPr id="106" name="Line 250">
            <a:extLst>
              <a:ext uri="{FF2B5EF4-FFF2-40B4-BE49-F238E27FC236}">
                <a16:creationId xmlns:a16="http://schemas.microsoft.com/office/drawing/2014/main" id="{FE0AD4A2-B78D-4B64-B631-74C069266529}"/>
              </a:ext>
            </a:extLst>
          </xdr:cNvPr>
          <xdr:cNvSpPr>
            <a:spLocks noChangeShapeType="1"/>
          </xdr:cNvSpPr>
        </xdr:nvSpPr>
        <xdr:spPr bwMode="auto">
          <a:xfrm flipH="1">
            <a:off x="804" y="657"/>
            <a:ext cx="71" cy="0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" name="Line 251">
            <a:extLst>
              <a:ext uri="{FF2B5EF4-FFF2-40B4-BE49-F238E27FC236}">
                <a16:creationId xmlns:a16="http://schemas.microsoft.com/office/drawing/2014/main" id="{F05E506D-BB4F-41A5-8FC8-81FB9D8C3DEB}"/>
              </a:ext>
            </a:extLst>
          </xdr:cNvPr>
          <xdr:cNvSpPr>
            <a:spLocks noChangeShapeType="1"/>
          </xdr:cNvSpPr>
        </xdr:nvSpPr>
        <xdr:spPr bwMode="auto">
          <a:xfrm>
            <a:off x="934" y="656"/>
            <a:ext cx="72" cy="0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" name="Line 252">
            <a:extLst>
              <a:ext uri="{FF2B5EF4-FFF2-40B4-BE49-F238E27FC236}">
                <a16:creationId xmlns:a16="http://schemas.microsoft.com/office/drawing/2014/main" id="{2F02BD7E-D73B-4709-BCB9-9FF73D58B2C6}"/>
              </a:ext>
            </a:extLst>
          </xdr:cNvPr>
          <xdr:cNvSpPr>
            <a:spLocks noChangeShapeType="1"/>
          </xdr:cNvSpPr>
        </xdr:nvSpPr>
        <xdr:spPr bwMode="auto">
          <a:xfrm>
            <a:off x="803" y="647"/>
            <a:ext cx="0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" name="Line 253">
            <a:extLst>
              <a:ext uri="{FF2B5EF4-FFF2-40B4-BE49-F238E27FC236}">
                <a16:creationId xmlns:a16="http://schemas.microsoft.com/office/drawing/2014/main" id="{D3677DC2-53FA-4F8D-8240-661DD35FC151}"/>
              </a:ext>
            </a:extLst>
          </xdr:cNvPr>
          <xdr:cNvSpPr>
            <a:spLocks noChangeShapeType="1"/>
          </xdr:cNvSpPr>
        </xdr:nvSpPr>
        <xdr:spPr bwMode="auto">
          <a:xfrm>
            <a:off x="1006" y="645"/>
            <a:ext cx="0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85725</xdr:colOff>
      <xdr:row>6</xdr:row>
      <xdr:rowOff>85725</xdr:rowOff>
    </xdr:from>
    <xdr:to>
      <xdr:col>68</xdr:col>
      <xdr:colOff>142875</xdr:colOff>
      <xdr:row>7</xdr:row>
      <xdr:rowOff>152400</xdr:rowOff>
    </xdr:to>
    <xdr:grpSp>
      <xdr:nvGrpSpPr>
        <xdr:cNvPr id="110" name="Group 254">
          <a:extLst>
            <a:ext uri="{FF2B5EF4-FFF2-40B4-BE49-F238E27FC236}">
              <a16:creationId xmlns:a16="http://schemas.microsoft.com/office/drawing/2014/main" id="{76DCF844-E053-4BD5-B177-DEB67E144664}"/>
            </a:ext>
          </a:extLst>
        </xdr:cNvPr>
        <xdr:cNvGrpSpPr>
          <a:grpSpLocks/>
        </xdr:cNvGrpSpPr>
      </xdr:nvGrpSpPr>
      <xdr:grpSpPr bwMode="auto">
        <a:xfrm>
          <a:off x="23628927" y="1500909"/>
          <a:ext cx="1496292" cy="272473"/>
          <a:chOff x="998" y="129"/>
          <a:chExt cx="158" cy="28"/>
        </a:xfrm>
      </xdr:grpSpPr>
      <xdr:grpSp>
        <xdr:nvGrpSpPr>
          <xdr:cNvPr id="111" name="Group 255">
            <a:extLst>
              <a:ext uri="{FF2B5EF4-FFF2-40B4-BE49-F238E27FC236}">
                <a16:creationId xmlns:a16="http://schemas.microsoft.com/office/drawing/2014/main" id="{E9372924-DEE9-4FFB-A4CA-7346378EE47B}"/>
              </a:ext>
            </a:extLst>
          </xdr:cNvPr>
          <xdr:cNvGrpSpPr>
            <a:grpSpLocks/>
          </xdr:cNvGrpSpPr>
        </xdr:nvGrpSpPr>
        <xdr:grpSpPr bwMode="auto">
          <a:xfrm>
            <a:off x="1131" y="129"/>
            <a:ext cx="25" cy="13"/>
            <a:chOff x="1141" y="147"/>
            <a:chExt cx="25" cy="13"/>
          </a:xfrm>
        </xdr:grpSpPr>
        <xdr:sp macro="" textlink="">
          <xdr:nvSpPr>
            <xdr:cNvPr id="115" name="Line 256">
              <a:extLst>
                <a:ext uri="{FF2B5EF4-FFF2-40B4-BE49-F238E27FC236}">
                  <a16:creationId xmlns:a16="http://schemas.microsoft.com/office/drawing/2014/main" id="{67B09D0D-246D-4926-BE2E-7DE1413FA1E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51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" name="Line 257">
              <a:extLst>
                <a:ext uri="{FF2B5EF4-FFF2-40B4-BE49-F238E27FC236}">
                  <a16:creationId xmlns:a16="http://schemas.microsoft.com/office/drawing/2014/main" id="{D3250904-A165-460E-BF55-E14887EDBEF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6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" name="Line 258">
              <a:extLst>
                <a:ext uri="{FF2B5EF4-FFF2-40B4-BE49-F238E27FC236}">
                  <a16:creationId xmlns:a16="http://schemas.microsoft.com/office/drawing/2014/main" id="{94F365FD-4D5B-477B-A596-5107AE3A919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47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" name="Line 259">
              <a:extLst>
                <a:ext uri="{FF2B5EF4-FFF2-40B4-BE49-F238E27FC236}">
                  <a16:creationId xmlns:a16="http://schemas.microsoft.com/office/drawing/2014/main" id="{2BCD62E8-F102-4DBA-8CF0-D57EA22A1E7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60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12" name="Group 260">
            <a:extLst>
              <a:ext uri="{FF2B5EF4-FFF2-40B4-BE49-F238E27FC236}">
                <a16:creationId xmlns:a16="http://schemas.microsoft.com/office/drawing/2014/main" id="{EBE24401-A64B-40A8-808D-905696AC5E66}"/>
              </a:ext>
            </a:extLst>
          </xdr:cNvPr>
          <xdr:cNvGrpSpPr>
            <a:grpSpLocks/>
          </xdr:cNvGrpSpPr>
        </xdr:nvGrpSpPr>
        <xdr:grpSpPr bwMode="auto">
          <a:xfrm>
            <a:off x="998" y="131"/>
            <a:ext cx="122" cy="26"/>
            <a:chOff x="1025" y="125"/>
            <a:chExt cx="122" cy="26"/>
          </a:xfrm>
        </xdr:grpSpPr>
        <xdr:sp macro="" textlink="">
          <xdr:nvSpPr>
            <xdr:cNvPr id="113" name="Line 261">
              <a:extLst>
                <a:ext uri="{FF2B5EF4-FFF2-40B4-BE49-F238E27FC236}">
                  <a16:creationId xmlns:a16="http://schemas.microsoft.com/office/drawing/2014/main" id="{FCAB207A-9B43-454E-8781-884C9FFFC516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25" y="126"/>
              <a:ext cx="20" cy="25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" name="Line 262">
              <a:extLst>
                <a:ext uri="{FF2B5EF4-FFF2-40B4-BE49-F238E27FC236}">
                  <a16:creationId xmlns:a16="http://schemas.microsoft.com/office/drawing/2014/main" id="{907165F1-E84E-45D8-97FC-51C3424AF40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6" y="125"/>
              <a:ext cx="101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 type="triangle" w="sm" len="sm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73</xdr:col>
      <xdr:colOff>19050</xdr:colOff>
      <xdr:row>9</xdr:row>
      <xdr:rowOff>19050</xdr:rowOff>
    </xdr:from>
    <xdr:to>
      <xdr:col>73</xdr:col>
      <xdr:colOff>47625</xdr:colOff>
      <xdr:row>30</xdr:row>
      <xdr:rowOff>0</xdr:rowOff>
    </xdr:to>
    <xdr:grpSp>
      <xdr:nvGrpSpPr>
        <xdr:cNvPr id="119" name="Group 263">
          <a:extLst>
            <a:ext uri="{FF2B5EF4-FFF2-40B4-BE49-F238E27FC236}">
              <a16:creationId xmlns:a16="http://schemas.microsoft.com/office/drawing/2014/main" id="{80B7BAF1-0345-48CA-AF83-2CD0E7A08E6E}"/>
            </a:ext>
          </a:extLst>
        </xdr:cNvPr>
        <xdr:cNvGrpSpPr>
          <a:grpSpLocks/>
        </xdr:cNvGrpSpPr>
      </xdr:nvGrpSpPr>
      <xdr:grpSpPr bwMode="auto">
        <a:xfrm>
          <a:off x="26545309" y="2048164"/>
          <a:ext cx="30018" cy="4336472"/>
          <a:chOff x="12065374" y="1767168"/>
          <a:chExt cx="28575" cy="4272803"/>
        </a:xfrm>
      </xdr:grpSpPr>
      <xdr:sp macro="" textlink="">
        <xdr:nvSpPr>
          <xdr:cNvPr id="120" name="Line 264">
            <a:extLst>
              <a:ext uri="{FF2B5EF4-FFF2-40B4-BE49-F238E27FC236}">
                <a16:creationId xmlns:a16="http://schemas.microsoft.com/office/drawing/2014/main" id="{5796D3F4-6CCB-493C-97C4-5F696CB8BD9C}"/>
              </a:ext>
            </a:extLst>
          </xdr:cNvPr>
          <xdr:cNvSpPr>
            <a:spLocks noChangeShapeType="1"/>
          </xdr:cNvSpPr>
        </xdr:nvSpPr>
        <xdr:spPr bwMode="auto">
          <a:xfrm flipV="1">
            <a:off x="1324" y="223"/>
            <a:ext cx="0" cy="225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" name="Line 265">
            <a:extLst>
              <a:ext uri="{FF2B5EF4-FFF2-40B4-BE49-F238E27FC236}">
                <a16:creationId xmlns:a16="http://schemas.microsoft.com/office/drawing/2014/main" id="{38888663-777E-4118-AD48-9B211D1CEE6C}"/>
              </a:ext>
            </a:extLst>
          </xdr:cNvPr>
          <xdr:cNvSpPr>
            <a:spLocks noChangeShapeType="1"/>
          </xdr:cNvSpPr>
        </xdr:nvSpPr>
        <xdr:spPr bwMode="auto">
          <a:xfrm>
            <a:off x="1324" y="486"/>
            <a:ext cx="0" cy="227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67</xdr:col>
      <xdr:colOff>57150</xdr:colOff>
      <xdr:row>32</xdr:row>
      <xdr:rowOff>0</xdr:rowOff>
    </xdr:from>
    <xdr:to>
      <xdr:col>68</xdr:col>
      <xdr:colOff>76200</xdr:colOff>
      <xdr:row>32</xdr:row>
      <xdr:rowOff>161925</xdr:rowOff>
    </xdr:to>
    <xdr:grpSp>
      <xdr:nvGrpSpPr>
        <xdr:cNvPr id="122" name="Group 266">
          <a:extLst>
            <a:ext uri="{FF2B5EF4-FFF2-40B4-BE49-F238E27FC236}">
              <a16:creationId xmlns:a16="http://schemas.microsoft.com/office/drawing/2014/main" id="{6B9268D5-663C-4C38-A51F-FAC7F5948E66}"/>
            </a:ext>
          </a:extLst>
        </xdr:cNvPr>
        <xdr:cNvGrpSpPr>
          <a:grpSpLocks/>
        </xdr:cNvGrpSpPr>
      </xdr:nvGrpSpPr>
      <xdr:grpSpPr bwMode="auto">
        <a:xfrm>
          <a:off x="24878145" y="6795655"/>
          <a:ext cx="180110" cy="166255"/>
          <a:chOff x="1146" y="785"/>
          <a:chExt cx="19" cy="17"/>
        </a:xfrm>
      </xdr:grpSpPr>
      <xdr:sp macro="" textlink="">
        <xdr:nvSpPr>
          <xdr:cNvPr id="123" name="Line 267">
            <a:extLst>
              <a:ext uri="{FF2B5EF4-FFF2-40B4-BE49-F238E27FC236}">
                <a16:creationId xmlns:a16="http://schemas.microsoft.com/office/drawing/2014/main" id="{CE2CC604-AB7C-4186-9001-659C4B722254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9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" name="Line 268">
            <a:extLst>
              <a:ext uri="{FF2B5EF4-FFF2-40B4-BE49-F238E27FC236}">
                <a16:creationId xmlns:a16="http://schemas.microsoft.com/office/drawing/2014/main" id="{52965358-4623-41F9-990B-DC5A816A1962}"/>
              </a:ext>
            </a:extLst>
          </xdr:cNvPr>
          <xdr:cNvSpPr>
            <a:spLocks noChangeShapeType="1"/>
          </xdr:cNvSpPr>
        </xdr:nvSpPr>
        <xdr:spPr bwMode="auto">
          <a:xfrm flipV="1">
            <a:off x="1160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" name="Line 269">
            <a:extLst>
              <a:ext uri="{FF2B5EF4-FFF2-40B4-BE49-F238E27FC236}">
                <a16:creationId xmlns:a16="http://schemas.microsoft.com/office/drawing/2014/main" id="{74C3E886-36A2-427F-8CE1-3E44A9A175D2}"/>
              </a:ext>
            </a:extLst>
          </xdr:cNvPr>
          <xdr:cNvSpPr>
            <a:spLocks noChangeShapeType="1"/>
          </xdr:cNvSpPr>
        </xdr:nvSpPr>
        <xdr:spPr bwMode="auto">
          <a:xfrm>
            <a:off x="1146" y="802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6" name="Line 270">
            <a:extLst>
              <a:ext uri="{FF2B5EF4-FFF2-40B4-BE49-F238E27FC236}">
                <a16:creationId xmlns:a16="http://schemas.microsoft.com/office/drawing/2014/main" id="{82DD2230-6B83-444C-B72F-536F8C908277}"/>
              </a:ext>
            </a:extLst>
          </xdr:cNvPr>
          <xdr:cNvSpPr>
            <a:spLocks noChangeShapeType="1"/>
          </xdr:cNvSpPr>
        </xdr:nvSpPr>
        <xdr:spPr bwMode="auto">
          <a:xfrm>
            <a:off x="1146" y="797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68</xdr:col>
      <xdr:colOff>142875</xdr:colOff>
      <xdr:row>32</xdr:row>
      <xdr:rowOff>57150</xdr:rowOff>
    </xdr:from>
    <xdr:to>
      <xdr:col>70</xdr:col>
      <xdr:colOff>190500</xdr:colOff>
      <xdr:row>32</xdr:row>
      <xdr:rowOff>133350</xdr:rowOff>
    </xdr:to>
    <xdr:sp macro="" textlink="">
      <xdr:nvSpPr>
        <xdr:cNvPr id="127" name="Line 271">
          <a:extLst>
            <a:ext uri="{FF2B5EF4-FFF2-40B4-BE49-F238E27FC236}">
              <a16:creationId xmlns:a16="http://schemas.microsoft.com/office/drawing/2014/main" id="{0FFD5155-BA34-486A-A125-B94DE8535C74}"/>
            </a:ext>
          </a:extLst>
        </xdr:cNvPr>
        <xdr:cNvSpPr>
          <a:spLocks noChangeShapeType="1"/>
        </xdr:cNvSpPr>
      </xdr:nvSpPr>
      <xdr:spPr bwMode="auto">
        <a:xfrm flipH="1" flipV="1">
          <a:off x="24993600" y="6696075"/>
          <a:ext cx="638175" cy="762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28575</xdr:colOff>
      <xdr:row>27</xdr:row>
      <xdr:rowOff>200025</xdr:rowOff>
    </xdr:from>
    <xdr:to>
      <xdr:col>67</xdr:col>
      <xdr:colOff>104775</xdr:colOff>
      <xdr:row>28</xdr:row>
      <xdr:rowOff>180975</xdr:rowOff>
    </xdr:to>
    <xdr:sp macro="" textlink="">
      <xdr:nvSpPr>
        <xdr:cNvPr id="128" name="AutoShape 272">
          <a:extLst>
            <a:ext uri="{FF2B5EF4-FFF2-40B4-BE49-F238E27FC236}">
              <a16:creationId xmlns:a16="http://schemas.microsoft.com/office/drawing/2014/main" id="{78D35DCE-4267-4796-BC26-76693C713D69}"/>
            </a:ext>
          </a:extLst>
        </xdr:cNvPr>
        <xdr:cNvSpPr>
          <a:spLocks/>
        </xdr:cNvSpPr>
      </xdr:nvSpPr>
      <xdr:spPr bwMode="auto">
        <a:xfrm>
          <a:off x="24717375" y="5819775"/>
          <a:ext cx="76200" cy="200025"/>
        </a:xfrm>
        <a:prstGeom prst="rightBrace">
          <a:avLst>
            <a:gd name="adj1" fmla="val 21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22</xdr:row>
      <xdr:rowOff>0</xdr:rowOff>
    </xdr:from>
    <xdr:to>
      <xdr:col>67</xdr:col>
      <xdr:colOff>104775</xdr:colOff>
      <xdr:row>27</xdr:row>
      <xdr:rowOff>180975</xdr:rowOff>
    </xdr:to>
    <xdr:sp macro="" textlink="">
      <xdr:nvSpPr>
        <xdr:cNvPr id="129" name="AutoShape 273">
          <a:extLst>
            <a:ext uri="{FF2B5EF4-FFF2-40B4-BE49-F238E27FC236}">
              <a16:creationId xmlns:a16="http://schemas.microsoft.com/office/drawing/2014/main" id="{1853669B-6021-4960-BE0C-5FCCA78A78B5}"/>
            </a:ext>
          </a:extLst>
        </xdr:cNvPr>
        <xdr:cNvSpPr>
          <a:spLocks/>
        </xdr:cNvSpPr>
      </xdr:nvSpPr>
      <xdr:spPr bwMode="auto">
        <a:xfrm>
          <a:off x="24717375" y="4591050"/>
          <a:ext cx="76200" cy="1209675"/>
        </a:xfrm>
        <a:prstGeom prst="rightBrace">
          <a:avLst>
            <a:gd name="adj1" fmla="val 13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29</xdr:row>
      <xdr:rowOff>9525</xdr:rowOff>
    </xdr:from>
    <xdr:to>
      <xdr:col>67</xdr:col>
      <xdr:colOff>104775</xdr:colOff>
      <xdr:row>29</xdr:row>
      <xdr:rowOff>190500</xdr:rowOff>
    </xdr:to>
    <xdr:sp macro="" textlink="">
      <xdr:nvSpPr>
        <xdr:cNvPr id="130" name="AutoShape 274">
          <a:extLst>
            <a:ext uri="{FF2B5EF4-FFF2-40B4-BE49-F238E27FC236}">
              <a16:creationId xmlns:a16="http://schemas.microsoft.com/office/drawing/2014/main" id="{CBE6304C-ECD4-425B-841A-ED807853CD84}"/>
            </a:ext>
          </a:extLst>
        </xdr:cNvPr>
        <xdr:cNvSpPr>
          <a:spLocks/>
        </xdr:cNvSpPr>
      </xdr:nvSpPr>
      <xdr:spPr bwMode="auto">
        <a:xfrm>
          <a:off x="24717375" y="6048375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21</xdr:row>
      <xdr:rowOff>9525</xdr:rowOff>
    </xdr:from>
    <xdr:to>
      <xdr:col>67</xdr:col>
      <xdr:colOff>104775</xdr:colOff>
      <xdr:row>21</xdr:row>
      <xdr:rowOff>190500</xdr:rowOff>
    </xdr:to>
    <xdr:sp macro="" textlink="">
      <xdr:nvSpPr>
        <xdr:cNvPr id="131" name="AutoShape 275">
          <a:extLst>
            <a:ext uri="{FF2B5EF4-FFF2-40B4-BE49-F238E27FC236}">
              <a16:creationId xmlns:a16="http://schemas.microsoft.com/office/drawing/2014/main" id="{627C3416-36B8-4723-B7E6-4CB8288A13C1}"/>
            </a:ext>
          </a:extLst>
        </xdr:cNvPr>
        <xdr:cNvSpPr>
          <a:spLocks/>
        </xdr:cNvSpPr>
      </xdr:nvSpPr>
      <xdr:spPr bwMode="auto">
        <a:xfrm>
          <a:off x="24717375" y="4400550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63</xdr:col>
      <xdr:colOff>200025</xdr:colOff>
      <xdr:row>9</xdr:row>
      <xdr:rowOff>0</xdr:rowOff>
    </xdr:from>
    <xdr:to>
      <xdr:col>63</xdr:col>
      <xdr:colOff>200025</xdr:colOff>
      <xdr:row>30</xdr:row>
      <xdr:rowOff>9525</xdr:rowOff>
    </xdr:to>
    <xdr:sp macro="" textlink="">
      <xdr:nvSpPr>
        <xdr:cNvPr id="132" name="Line 276">
          <a:extLst>
            <a:ext uri="{FF2B5EF4-FFF2-40B4-BE49-F238E27FC236}">
              <a16:creationId xmlns:a16="http://schemas.microsoft.com/office/drawing/2014/main" id="{CC3DC89C-BC3A-4EE9-A0CC-82B96FCBA3A4}"/>
            </a:ext>
          </a:extLst>
        </xdr:cNvPr>
        <xdr:cNvSpPr>
          <a:spLocks noChangeShapeType="1"/>
        </xdr:cNvSpPr>
      </xdr:nvSpPr>
      <xdr:spPr bwMode="auto">
        <a:xfrm>
          <a:off x="23612475" y="1990725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85725</xdr:colOff>
      <xdr:row>8</xdr:row>
      <xdr:rowOff>190500</xdr:rowOff>
    </xdr:from>
    <xdr:to>
      <xdr:col>72</xdr:col>
      <xdr:colOff>85725</xdr:colOff>
      <xdr:row>30</xdr:row>
      <xdr:rowOff>0</xdr:rowOff>
    </xdr:to>
    <xdr:sp macro="" textlink="">
      <xdr:nvSpPr>
        <xdr:cNvPr id="133" name="Line 277">
          <a:extLst>
            <a:ext uri="{FF2B5EF4-FFF2-40B4-BE49-F238E27FC236}">
              <a16:creationId xmlns:a16="http://schemas.microsoft.com/office/drawing/2014/main" id="{AD3E05D8-F8FF-42DC-A9DB-391DB002E0D4}"/>
            </a:ext>
          </a:extLst>
        </xdr:cNvPr>
        <xdr:cNvSpPr>
          <a:spLocks noChangeShapeType="1"/>
        </xdr:cNvSpPr>
      </xdr:nvSpPr>
      <xdr:spPr bwMode="auto">
        <a:xfrm>
          <a:off x="26203275" y="1981200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104775</xdr:colOff>
      <xdr:row>13</xdr:row>
      <xdr:rowOff>19050</xdr:rowOff>
    </xdr:from>
    <xdr:to>
      <xdr:col>67</xdr:col>
      <xdr:colOff>123825</xdr:colOff>
      <xdr:row>18</xdr:row>
      <xdr:rowOff>85725</xdr:rowOff>
    </xdr:to>
    <xdr:grpSp>
      <xdr:nvGrpSpPr>
        <xdr:cNvPr id="134" name="Group 278">
          <a:extLst>
            <a:ext uri="{FF2B5EF4-FFF2-40B4-BE49-F238E27FC236}">
              <a16:creationId xmlns:a16="http://schemas.microsoft.com/office/drawing/2014/main" id="{BCF63FE6-0933-4E90-9453-6231B3685A93}"/>
            </a:ext>
          </a:extLst>
        </xdr:cNvPr>
        <xdr:cNvGrpSpPr>
          <a:grpSpLocks/>
        </xdr:cNvGrpSpPr>
      </xdr:nvGrpSpPr>
      <xdr:grpSpPr bwMode="auto">
        <a:xfrm>
          <a:off x="23924491" y="2870200"/>
          <a:ext cx="1020618" cy="1096818"/>
          <a:chOff x="941" y="269"/>
          <a:chExt cx="85" cy="72"/>
        </a:xfrm>
      </xdr:grpSpPr>
      <xdr:sp macro="" textlink="">
        <xdr:nvSpPr>
          <xdr:cNvPr id="135" name="Arc 279">
            <a:extLst>
              <a:ext uri="{FF2B5EF4-FFF2-40B4-BE49-F238E27FC236}">
                <a16:creationId xmlns:a16="http://schemas.microsoft.com/office/drawing/2014/main" id="{06150538-84B7-42CB-9C4E-897038C725E2}"/>
              </a:ext>
            </a:extLst>
          </xdr:cNvPr>
          <xdr:cNvSpPr>
            <a:spLocks/>
          </xdr:cNvSpPr>
        </xdr:nvSpPr>
        <xdr:spPr bwMode="auto">
          <a:xfrm flipV="1">
            <a:off x="953" y="278"/>
            <a:ext cx="32" cy="31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6" name="Line 280">
            <a:extLst>
              <a:ext uri="{FF2B5EF4-FFF2-40B4-BE49-F238E27FC236}">
                <a16:creationId xmlns:a16="http://schemas.microsoft.com/office/drawing/2014/main" id="{7BD51CA5-6817-4A7C-8B33-3955DDA0100F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3" y="331"/>
            <a:ext cx="3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" name="Line 281">
            <a:extLst>
              <a:ext uri="{FF2B5EF4-FFF2-40B4-BE49-F238E27FC236}">
                <a16:creationId xmlns:a16="http://schemas.microsoft.com/office/drawing/2014/main" id="{3291D911-6121-46AB-B52C-12BAC0306EB1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0" y="331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" name="Line 282">
            <a:extLst>
              <a:ext uri="{FF2B5EF4-FFF2-40B4-BE49-F238E27FC236}">
                <a16:creationId xmlns:a16="http://schemas.microsoft.com/office/drawing/2014/main" id="{91C3DB47-D357-4D54-88D1-D8057D83885F}"/>
              </a:ext>
            </a:extLst>
          </xdr:cNvPr>
          <xdr:cNvSpPr>
            <a:spLocks noChangeShapeType="1"/>
          </xdr:cNvSpPr>
        </xdr:nvSpPr>
        <xdr:spPr bwMode="auto">
          <a:xfrm flipV="1">
            <a:off x="983" y="273"/>
            <a:ext cx="3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9" name="Line 283">
            <a:extLst>
              <a:ext uri="{FF2B5EF4-FFF2-40B4-BE49-F238E27FC236}">
                <a16:creationId xmlns:a16="http://schemas.microsoft.com/office/drawing/2014/main" id="{A07E4286-82FD-410B-A160-08BC18337F8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85" y="273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0" name="Oval 284">
            <a:extLst>
              <a:ext uri="{FF2B5EF4-FFF2-40B4-BE49-F238E27FC236}">
                <a16:creationId xmlns:a16="http://schemas.microsoft.com/office/drawing/2014/main" id="{BCD11139-DD4E-4209-9D0B-E17C99E9B9BF}"/>
              </a:ext>
            </a:extLst>
          </xdr:cNvPr>
          <xdr:cNvSpPr>
            <a:spLocks noChangeArrowheads="1"/>
          </xdr:cNvSpPr>
        </xdr:nvSpPr>
        <xdr:spPr bwMode="auto">
          <a:xfrm>
            <a:off x="984" y="269"/>
            <a:ext cx="2" cy="2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1" name="Oval 285">
            <a:extLst>
              <a:ext uri="{FF2B5EF4-FFF2-40B4-BE49-F238E27FC236}">
                <a16:creationId xmlns:a16="http://schemas.microsoft.com/office/drawing/2014/main" id="{647B20A2-135D-4A04-989B-F4FC6871F9F8}"/>
              </a:ext>
            </a:extLst>
          </xdr:cNvPr>
          <xdr:cNvSpPr>
            <a:spLocks noChangeArrowheads="1"/>
          </xdr:cNvSpPr>
        </xdr:nvSpPr>
        <xdr:spPr bwMode="auto">
          <a:xfrm>
            <a:off x="1021" y="338"/>
            <a:ext cx="4" cy="3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" name="Freeform 286">
            <a:extLst>
              <a:ext uri="{FF2B5EF4-FFF2-40B4-BE49-F238E27FC236}">
                <a16:creationId xmlns:a16="http://schemas.microsoft.com/office/drawing/2014/main" id="{475F4A58-AA9D-46B3-AE07-57A25768A33F}"/>
              </a:ext>
            </a:extLst>
          </xdr:cNvPr>
          <xdr:cNvSpPr>
            <a:spLocks/>
          </xdr:cNvSpPr>
        </xdr:nvSpPr>
        <xdr:spPr bwMode="auto">
          <a:xfrm>
            <a:off x="941" y="288"/>
            <a:ext cx="82" cy="49"/>
          </a:xfrm>
          <a:custGeom>
            <a:avLst/>
            <a:gdLst>
              <a:gd name="T0" fmla="*/ 0 w 93"/>
              <a:gd name="T1" fmla="*/ 175 h 45"/>
              <a:gd name="T2" fmla="*/ 4 w 93"/>
              <a:gd name="T3" fmla="*/ 163 h 45"/>
              <a:gd name="T4" fmla="*/ 4 w 93"/>
              <a:gd name="T5" fmla="*/ 115 h 45"/>
              <a:gd name="T6" fmla="*/ 4 w 93"/>
              <a:gd name="T7" fmla="*/ 5 h 45"/>
              <a:gd name="T8" fmla="*/ 4 w 93"/>
              <a:gd name="T9" fmla="*/ 0 h 45"/>
              <a:gd name="T10" fmla="*/ 4 w 93"/>
              <a:gd name="T11" fmla="*/ 63 h 45"/>
              <a:gd name="T12" fmla="*/ 4 w 93"/>
              <a:gd name="T13" fmla="*/ 125 h 45"/>
              <a:gd name="T14" fmla="*/ 4 w 93"/>
              <a:gd name="T15" fmla="*/ 210 h 45"/>
              <a:gd name="T16" fmla="*/ 4 w 93"/>
              <a:gd name="T17" fmla="*/ 381 h 45"/>
              <a:gd name="T18" fmla="*/ 4 w 93"/>
              <a:gd name="T19" fmla="*/ 375 h 45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93"/>
              <a:gd name="T31" fmla="*/ 0 h 45"/>
              <a:gd name="T32" fmla="*/ 93 w 93"/>
              <a:gd name="T33" fmla="*/ 45 h 45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93" h="45">
                <a:moveTo>
                  <a:pt x="0" y="19"/>
                </a:moveTo>
                <a:cubicBezTo>
                  <a:pt x="8" y="19"/>
                  <a:pt x="17" y="19"/>
                  <a:pt x="25" y="18"/>
                </a:cubicBezTo>
                <a:cubicBezTo>
                  <a:pt x="33" y="17"/>
                  <a:pt x="43" y="15"/>
                  <a:pt x="49" y="13"/>
                </a:cubicBezTo>
                <a:cubicBezTo>
                  <a:pt x="55" y="11"/>
                  <a:pt x="56" y="7"/>
                  <a:pt x="60" y="5"/>
                </a:cubicBezTo>
                <a:cubicBezTo>
                  <a:pt x="64" y="3"/>
                  <a:pt x="70" y="0"/>
                  <a:pt x="74" y="0"/>
                </a:cubicBezTo>
                <a:cubicBezTo>
                  <a:pt x="78" y="0"/>
                  <a:pt x="84" y="4"/>
                  <a:pt x="87" y="6"/>
                </a:cubicBezTo>
                <a:cubicBezTo>
                  <a:pt x="90" y="8"/>
                  <a:pt x="91" y="11"/>
                  <a:pt x="92" y="14"/>
                </a:cubicBezTo>
                <a:cubicBezTo>
                  <a:pt x="93" y="17"/>
                  <a:pt x="93" y="19"/>
                  <a:pt x="93" y="24"/>
                </a:cubicBezTo>
                <a:cubicBezTo>
                  <a:pt x="93" y="29"/>
                  <a:pt x="93" y="39"/>
                  <a:pt x="93" y="42"/>
                </a:cubicBezTo>
                <a:cubicBezTo>
                  <a:pt x="93" y="45"/>
                  <a:pt x="93" y="42"/>
                  <a:pt x="93" y="4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63</xdr:col>
      <xdr:colOff>228600</xdr:colOff>
      <xdr:row>29</xdr:row>
      <xdr:rowOff>180975</xdr:rowOff>
    </xdr:from>
    <xdr:to>
      <xdr:col>72</xdr:col>
      <xdr:colOff>104775</xdr:colOff>
      <xdr:row>31</xdr:row>
      <xdr:rowOff>171450</xdr:rowOff>
    </xdr:to>
    <xdr:grpSp>
      <xdr:nvGrpSpPr>
        <xdr:cNvPr id="143" name="Group 287">
          <a:extLst>
            <a:ext uri="{FF2B5EF4-FFF2-40B4-BE49-F238E27FC236}">
              <a16:creationId xmlns:a16="http://schemas.microsoft.com/office/drawing/2014/main" id="{7B9CB1AD-A719-479D-8C2A-248FAEE10CB7}"/>
            </a:ext>
          </a:extLst>
        </xdr:cNvPr>
        <xdr:cNvGrpSpPr>
          <a:grpSpLocks/>
        </xdr:cNvGrpSpPr>
      </xdr:nvGrpSpPr>
      <xdr:grpSpPr bwMode="auto">
        <a:xfrm rot="10800000">
          <a:off x="23772091" y="6363854"/>
          <a:ext cx="2581563" cy="401782"/>
          <a:chOff x="1010" y="143"/>
          <a:chExt cx="265" cy="41"/>
        </a:xfrm>
      </xdr:grpSpPr>
      <xdr:sp macro="" textlink="">
        <xdr:nvSpPr>
          <xdr:cNvPr id="144" name="Arc 288">
            <a:extLst>
              <a:ext uri="{FF2B5EF4-FFF2-40B4-BE49-F238E27FC236}">
                <a16:creationId xmlns:a16="http://schemas.microsoft.com/office/drawing/2014/main" id="{C451CA89-9FC1-4714-894B-760E97236189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5" name="Arc 289">
            <a:extLst>
              <a:ext uri="{FF2B5EF4-FFF2-40B4-BE49-F238E27FC236}">
                <a16:creationId xmlns:a16="http://schemas.microsoft.com/office/drawing/2014/main" id="{3B0B102F-5020-4383-A4C3-B297351205F6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Line 290">
            <a:extLst>
              <a:ext uri="{FF2B5EF4-FFF2-40B4-BE49-F238E27FC236}">
                <a16:creationId xmlns:a16="http://schemas.microsoft.com/office/drawing/2014/main" id="{4A86E10B-5BBF-47F1-979A-621773AEE145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33</xdr:col>
      <xdr:colOff>76200</xdr:colOff>
      <xdr:row>9</xdr:row>
      <xdr:rowOff>0</xdr:rowOff>
    </xdr:from>
    <xdr:to>
      <xdr:col>35</xdr:col>
      <xdr:colOff>19050</xdr:colOff>
      <xdr:row>9</xdr:row>
      <xdr:rowOff>0</xdr:rowOff>
    </xdr:to>
    <xdr:sp macro="" textlink="">
      <xdr:nvSpPr>
        <xdr:cNvPr id="147" name="Line 978">
          <a:extLst>
            <a:ext uri="{FF2B5EF4-FFF2-40B4-BE49-F238E27FC236}">
              <a16:creationId xmlns:a16="http://schemas.microsoft.com/office/drawing/2014/main" id="{08F9141D-E570-42E2-A0C4-EC6C27065519}"/>
            </a:ext>
          </a:extLst>
        </xdr:cNvPr>
        <xdr:cNvSpPr>
          <a:spLocks noChangeShapeType="1"/>
        </xdr:cNvSpPr>
      </xdr:nvSpPr>
      <xdr:spPr bwMode="auto">
        <a:xfrm>
          <a:off x="11963400" y="1990725"/>
          <a:ext cx="4953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85725</xdr:colOff>
      <xdr:row>30</xdr:row>
      <xdr:rowOff>0</xdr:rowOff>
    </xdr:from>
    <xdr:to>
      <xdr:col>35</xdr:col>
      <xdr:colOff>28575</xdr:colOff>
      <xdr:row>30</xdr:row>
      <xdr:rowOff>0</xdr:rowOff>
    </xdr:to>
    <xdr:sp macro="" textlink="">
      <xdr:nvSpPr>
        <xdr:cNvPr id="148" name="Line 980">
          <a:extLst>
            <a:ext uri="{FF2B5EF4-FFF2-40B4-BE49-F238E27FC236}">
              <a16:creationId xmlns:a16="http://schemas.microsoft.com/office/drawing/2014/main" id="{6DF0E799-ACC8-40A6-AEEA-8118D3739FC4}"/>
            </a:ext>
          </a:extLst>
        </xdr:cNvPr>
        <xdr:cNvSpPr>
          <a:spLocks noChangeShapeType="1"/>
        </xdr:cNvSpPr>
      </xdr:nvSpPr>
      <xdr:spPr bwMode="auto">
        <a:xfrm>
          <a:off x="11972925" y="6238875"/>
          <a:ext cx="4953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47625</xdr:colOff>
      <xdr:row>9</xdr:row>
      <xdr:rowOff>9525</xdr:rowOff>
    </xdr:from>
    <xdr:to>
      <xdr:col>34</xdr:col>
      <xdr:colOff>47625</xdr:colOff>
      <xdr:row>18</xdr:row>
      <xdr:rowOff>114300</xdr:rowOff>
    </xdr:to>
    <xdr:sp macro="" textlink="">
      <xdr:nvSpPr>
        <xdr:cNvPr id="149" name="Line 217">
          <a:extLst>
            <a:ext uri="{FF2B5EF4-FFF2-40B4-BE49-F238E27FC236}">
              <a16:creationId xmlns:a16="http://schemas.microsoft.com/office/drawing/2014/main" id="{6385F115-BDAC-479A-8674-721A834F5B41}"/>
            </a:ext>
          </a:extLst>
        </xdr:cNvPr>
        <xdr:cNvSpPr>
          <a:spLocks noChangeShapeType="1"/>
        </xdr:cNvSpPr>
      </xdr:nvSpPr>
      <xdr:spPr bwMode="auto">
        <a:xfrm>
          <a:off x="12211050" y="2000250"/>
          <a:ext cx="0" cy="190500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200025</xdr:colOff>
      <xdr:row>9</xdr:row>
      <xdr:rowOff>95250</xdr:rowOff>
    </xdr:from>
    <xdr:to>
      <xdr:col>28</xdr:col>
      <xdr:colOff>19050</xdr:colOff>
      <xdr:row>9</xdr:row>
      <xdr:rowOff>95250</xdr:rowOff>
    </xdr:to>
    <xdr:sp macro="" textlink="">
      <xdr:nvSpPr>
        <xdr:cNvPr id="150" name="Line 983">
          <a:extLst>
            <a:ext uri="{FF2B5EF4-FFF2-40B4-BE49-F238E27FC236}">
              <a16:creationId xmlns:a16="http://schemas.microsoft.com/office/drawing/2014/main" id="{3A5E7940-7EA6-4750-8E73-2BCFDD158228}"/>
            </a:ext>
          </a:extLst>
        </xdr:cNvPr>
        <xdr:cNvSpPr>
          <a:spLocks noChangeShapeType="1"/>
        </xdr:cNvSpPr>
      </xdr:nvSpPr>
      <xdr:spPr bwMode="auto">
        <a:xfrm>
          <a:off x="9382125" y="20859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400050</xdr:colOff>
      <xdr:row>9</xdr:row>
      <xdr:rowOff>104775</xdr:rowOff>
    </xdr:from>
    <xdr:to>
      <xdr:col>33</xdr:col>
      <xdr:colOff>85725</xdr:colOff>
      <xdr:row>9</xdr:row>
      <xdr:rowOff>104775</xdr:rowOff>
    </xdr:to>
    <xdr:sp macro="" textlink="">
      <xdr:nvSpPr>
        <xdr:cNvPr id="151" name="Line 985">
          <a:extLst>
            <a:ext uri="{FF2B5EF4-FFF2-40B4-BE49-F238E27FC236}">
              <a16:creationId xmlns:a16="http://schemas.microsoft.com/office/drawing/2014/main" id="{92F69645-6FF2-4505-BDBE-EFF7FDD327D3}"/>
            </a:ext>
          </a:extLst>
        </xdr:cNvPr>
        <xdr:cNvSpPr>
          <a:spLocks noChangeShapeType="1"/>
        </xdr:cNvSpPr>
      </xdr:nvSpPr>
      <xdr:spPr bwMode="auto">
        <a:xfrm>
          <a:off x="11020425" y="2095500"/>
          <a:ext cx="9525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47625</xdr:colOff>
      <xdr:row>20</xdr:row>
      <xdr:rowOff>104775</xdr:rowOff>
    </xdr:from>
    <xdr:to>
      <xdr:col>34</xdr:col>
      <xdr:colOff>47625</xdr:colOff>
      <xdr:row>30</xdr:row>
      <xdr:rowOff>9525</xdr:rowOff>
    </xdr:to>
    <xdr:sp macro="" textlink="">
      <xdr:nvSpPr>
        <xdr:cNvPr id="152" name="Line 986">
          <a:extLst>
            <a:ext uri="{FF2B5EF4-FFF2-40B4-BE49-F238E27FC236}">
              <a16:creationId xmlns:a16="http://schemas.microsoft.com/office/drawing/2014/main" id="{FC32AA15-494F-4305-BF91-51E7D215C403}"/>
            </a:ext>
          </a:extLst>
        </xdr:cNvPr>
        <xdr:cNvSpPr>
          <a:spLocks noChangeShapeType="1"/>
        </xdr:cNvSpPr>
      </xdr:nvSpPr>
      <xdr:spPr bwMode="auto">
        <a:xfrm>
          <a:off x="12211050" y="4295775"/>
          <a:ext cx="0" cy="1952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85725</xdr:colOff>
      <xdr:row>15</xdr:row>
      <xdr:rowOff>104775</xdr:rowOff>
    </xdr:from>
    <xdr:to>
      <xdr:col>24</xdr:col>
      <xdr:colOff>190500</xdr:colOff>
      <xdr:row>16</xdr:row>
      <xdr:rowOff>95250</xdr:rowOff>
    </xdr:to>
    <xdr:grpSp>
      <xdr:nvGrpSpPr>
        <xdr:cNvPr id="2" name="Group 205">
          <a:extLst>
            <a:ext uri="{FF2B5EF4-FFF2-40B4-BE49-F238E27FC236}">
              <a16:creationId xmlns:a16="http://schemas.microsoft.com/office/drawing/2014/main" id="{2172404F-670F-4DCF-B78E-AB56BBE7ED25}"/>
            </a:ext>
          </a:extLst>
        </xdr:cNvPr>
        <xdr:cNvGrpSpPr>
          <a:grpSpLocks/>
        </xdr:cNvGrpSpPr>
      </xdr:nvGrpSpPr>
      <xdr:grpSpPr bwMode="auto">
        <a:xfrm>
          <a:off x="9319372" y="3309657"/>
          <a:ext cx="104775" cy="192181"/>
          <a:chOff x="999" y="386"/>
          <a:chExt cx="11" cy="20"/>
        </a:xfrm>
      </xdr:grpSpPr>
      <xdr:sp macro="" textlink="">
        <xdr:nvSpPr>
          <xdr:cNvPr id="3" name="Line 206">
            <a:extLst>
              <a:ext uri="{FF2B5EF4-FFF2-40B4-BE49-F238E27FC236}">
                <a16:creationId xmlns:a16="http://schemas.microsoft.com/office/drawing/2014/main" id="{D9E43CEB-8B70-4B9C-AE4E-F5A77EA9F7AF}"/>
              </a:ext>
            </a:extLst>
          </xdr:cNvPr>
          <xdr:cNvSpPr>
            <a:spLocks noChangeShapeType="1"/>
          </xdr:cNvSpPr>
        </xdr:nvSpPr>
        <xdr:spPr bwMode="auto">
          <a:xfrm flipH="1">
            <a:off x="1004" y="390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207">
            <a:extLst>
              <a:ext uri="{FF2B5EF4-FFF2-40B4-BE49-F238E27FC236}">
                <a16:creationId xmlns:a16="http://schemas.microsoft.com/office/drawing/2014/main" id="{6D483EDD-BD2F-4211-80CA-7F248CCFE7A1}"/>
              </a:ext>
            </a:extLst>
          </xdr:cNvPr>
          <xdr:cNvSpPr>
            <a:spLocks noChangeShapeType="1"/>
          </xdr:cNvSpPr>
        </xdr:nvSpPr>
        <xdr:spPr bwMode="auto">
          <a:xfrm>
            <a:off x="1004" y="404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208">
            <a:extLst>
              <a:ext uri="{FF2B5EF4-FFF2-40B4-BE49-F238E27FC236}">
                <a16:creationId xmlns:a16="http://schemas.microsoft.com/office/drawing/2014/main" id="{725AE464-F244-49F9-BC50-A201CD514C10}"/>
              </a:ext>
            </a:extLst>
          </xdr:cNvPr>
          <xdr:cNvSpPr>
            <a:spLocks noChangeShapeType="1"/>
          </xdr:cNvSpPr>
        </xdr:nvSpPr>
        <xdr:spPr bwMode="auto">
          <a:xfrm>
            <a:off x="999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209">
            <a:extLst>
              <a:ext uri="{FF2B5EF4-FFF2-40B4-BE49-F238E27FC236}">
                <a16:creationId xmlns:a16="http://schemas.microsoft.com/office/drawing/2014/main" id="{BC92C68E-281C-469E-84C6-2D9F1E560D95}"/>
              </a:ext>
            </a:extLst>
          </xdr:cNvPr>
          <xdr:cNvSpPr>
            <a:spLocks noChangeShapeType="1"/>
          </xdr:cNvSpPr>
        </xdr:nvSpPr>
        <xdr:spPr bwMode="auto">
          <a:xfrm>
            <a:off x="1003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22</xdr:col>
      <xdr:colOff>9525</xdr:colOff>
      <xdr:row>9</xdr:row>
      <xdr:rowOff>9525</xdr:rowOff>
    </xdr:from>
    <xdr:to>
      <xdr:col>22</xdr:col>
      <xdr:colOff>9525</xdr:colOff>
      <xdr:row>11</xdr:row>
      <xdr:rowOff>9525</xdr:rowOff>
    </xdr:to>
    <xdr:sp macro="" textlink="">
      <xdr:nvSpPr>
        <xdr:cNvPr id="7" name="Line 211">
          <a:extLst>
            <a:ext uri="{FF2B5EF4-FFF2-40B4-BE49-F238E27FC236}">
              <a16:creationId xmlns:a16="http://schemas.microsoft.com/office/drawing/2014/main" id="{8E485E89-B149-40EB-833E-FFAD6FEDE5C1}"/>
            </a:ext>
          </a:extLst>
        </xdr:cNvPr>
        <xdr:cNvSpPr>
          <a:spLocks noChangeShapeType="1"/>
        </xdr:cNvSpPr>
      </xdr:nvSpPr>
      <xdr:spPr bwMode="auto">
        <a:xfrm flipH="1">
          <a:off x="8724900" y="2000250"/>
          <a:ext cx="0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11</xdr:row>
      <xdr:rowOff>0</xdr:rowOff>
    </xdr:from>
    <xdr:to>
      <xdr:col>22</xdr:col>
      <xdr:colOff>9525</xdr:colOff>
      <xdr:row>12</xdr:row>
      <xdr:rowOff>9525</xdr:rowOff>
    </xdr:to>
    <xdr:sp macro="" textlink="">
      <xdr:nvSpPr>
        <xdr:cNvPr id="8" name="Line 212">
          <a:extLst>
            <a:ext uri="{FF2B5EF4-FFF2-40B4-BE49-F238E27FC236}">
              <a16:creationId xmlns:a16="http://schemas.microsoft.com/office/drawing/2014/main" id="{07742798-F807-44BB-86C6-8EE41F1B0A8F}"/>
            </a:ext>
          </a:extLst>
        </xdr:cNvPr>
        <xdr:cNvSpPr>
          <a:spLocks noChangeShapeType="1"/>
        </xdr:cNvSpPr>
      </xdr:nvSpPr>
      <xdr:spPr bwMode="auto">
        <a:xfrm>
          <a:off x="8724900" y="2390775"/>
          <a:ext cx="0" cy="2095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12</xdr:row>
      <xdr:rowOff>19050</xdr:rowOff>
    </xdr:from>
    <xdr:to>
      <xdr:col>22</xdr:col>
      <xdr:colOff>9525</xdr:colOff>
      <xdr:row>16</xdr:row>
      <xdr:rowOff>9525</xdr:rowOff>
    </xdr:to>
    <xdr:sp macro="" textlink="">
      <xdr:nvSpPr>
        <xdr:cNvPr id="9" name="Line 213">
          <a:extLst>
            <a:ext uri="{FF2B5EF4-FFF2-40B4-BE49-F238E27FC236}">
              <a16:creationId xmlns:a16="http://schemas.microsoft.com/office/drawing/2014/main" id="{77C2BEFD-07B4-4FFD-8933-426C88C73215}"/>
            </a:ext>
          </a:extLst>
        </xdr:cNvPr>
        <xdr:cNvSpPr>
          <a:spLocks noChangeShapeType="1"/>
        </xdr:cNvSpPr>
      </xdr:nvSpPr>
      <xdr:spPr bwMode="auto">
        <a:xfrm>
          <a:off x="8724900" y="2609850"/>
          <a:ext cx="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16</xdr:row>
      <xdr:rowOff>0</xdr:rowOff>
    </xdr:from>
    <xdr:to>
      <xdr:col>22</xdr:col>
      <xdr:colOff>9525</xdr:colOff>
      <xdr:row>30</xdr:row>
      <xdr:rowOff>0</xdr:rowOff>
    </xdr:to>
    <xdr:sp macro="" textlink="">
      <xdr:nvSpPr>
        <xdr:cNvPr id="10" name="Line 217">
          <a:extLst>
            <a:ext uri="{FF2B5EF4-FFF2-40B4-BE49-F238E27FC236}">
              <a16:creationId xmlns:a16="http://schemas.microsoft.com/office/drawing/2014/main" id="{03CAA686-50F9-4598-B4B1-71EB85297959}"/>
            </a:ext>
          </a:extLst>
        </xdr:cNvPr>
        <xdr:cNvSpPr>
          <a:spLocks noChangeShapeType="1"/>
        </xdr:cNvSpPr>
      </xdr:nvSpPr>
      <xdr:spPr bwMode="auto">
        <a:xfrm>
          <a:off x="8724900" y="3390900"/>
          <a:ext cx="0" cy="28479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171450</xdr:colOff>
      <xdr:row>9</xdr:row>
      <xdr:rowOff>0</xdr:rowOff>
    </xdr:from>
    <xdr:to>
      <xdr:col>24</xdr:col>
      <xdr:colOff>200025</xdr:colOff>
      <xdr:row>9</xdr:row>
      <xdr:rowOff>0</xdr:rowOff>
    </xdr:to>
    <xdr:sp macro="" textlink="">
      <xdr:nvSpPr>
        <xdr:cNvPr id="11" name="Line 218">
          <a:extLst>
            <a:ext uri="{FF2B5EF4-FFF2-40B4-BE49-F238E27FC236}">
              <a16:creationId xmlns:a16="http://schemas.microsoft.com/office/drawing/2014/main" id="{CFEDF98D-50F9-41A6-8FC4-3AEC78011709}"/>
            </a:ext>
          </a:extLst>
        </xdr:cNvPr>
        <xdr:cNvSpPr>
          <a:spLocks noChangeShapeType="1"/>
        </xdr:cNvSpPr>
      </xdr:nvSpPr>
      <xdr:spPr bwMode="auto">
        <a:xfrm>
          <a:off x="8334375" y="199072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171450</xdr:colOff>
      <xdr:row>12</xdr:row>
      <xdr:rowOff>0</xdr:rowOff>
    </xdr:from>
    <xdr:to>
      <xdr:col>24</xdr:col>
      <xdr:colOff>200025</xdr:colOff>
      <xdr:row>12</xdr:row>
      <xdr:rowOff>0</xdr:rowOff>
    </xdr:to>
    <xdr:sp macro="" textlink="">
      <xdr:nvSpPr>
        <xdr:cNvPr id="12" name="Line 219">
          <a:extLst>
            <a:ext uri="{FF2B5EF4-FFF2-40B4-BE49-F238E27FC236}">
              <a16:creationId xmlns:a16="http://schemas.microsoft.com/office/drawing/2014/main" id="{32D549AA-7AB6-476F-BDEE-8F7A7AEA23C0}"/>
            </a:ext>
          </a:extLst>
        </xdr:cNvPr>
        <xdr:cNvSpPr>
          <a:spLocks noChangeShapeType="1"/>
        </xdr:cNvSpPr>
      </xdr:nvSpPr>
      <xdr:spPr bwMode="auto">
        <a:xfrm>
          <a:off x="8334375" y="2590800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16</xdr:row>
      <xdr:rowOff>0</xdr:rowOff>
    </xdr:from>
    <xdr:to>
      <xdr:col>24</xdr:col>
      <xdr:colOff>104775</xdr:colOff>
      <xdr:row>16</xdr:row>
      <xdr:rowOff>0</xdr:rowOff>
    </xdr:to>
    <xdr:sp macro="" textlink="">
      <xdr:nvSpPr>
        <xdr:cNvPr id="13" name="Line 220">
          <a:extLst>
            <a:ext uri="{FF2B5EF4-FFF2-40B4-BE49-F238E27FC236}">
              <a16:creationId xmlns:a16="http://schemas.microsoft.com/office/drawing/2014/main" id="{E186840D-667D-446B-80DB-64BD0055C0B1}"/>
            </a:ext>
          </a:extLst>
        </xdr:cNvPr>
        <xdr:cNvSpPr>
          <a:spLocks noChangeShapeType="1"/>
        </xdr:cNvSpPr>
      </xdr:nvSpPr>
      <xdr:spPr bwMode="auto">
        <a:xfrm>
          <a:off x="8353425" y="3390900"/>
          <a:ext cx="10191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152400</xdr:colOff>
      <xdr:row>30</xdr:row>
      <xdr:rowOff>0</xdr:rowOff>
    </xdr:from>
    <xdr:to>
      <xdr:col>24</xdr:col>
      <xdr:colOff>180975</xdr:colOff>
      <xdr:row>30</xdr:row>
      <xdr:rowOff>0</xdr:rowOff>
    </xdr:to>
    <xdr:sp macro="" textlink="">
      <xdr:nvSpPr>
        <xdr:cNvPr id="14" name="Line 224">
          <a:extLst>
            <a:ext uri="{FF2B5EF4-FFF2-40B4-BE49-F238E27FC236}">
              <a16:creationId xmlns:a16="http://schemas.microsoft.com/office/drawing/2014/main" id="{E097FB70-A438-415B-948E-B28AE9269AED}"/>
            </a:ext>
          </a:extLst>
        </xdr:cNvPr>
        <xdr:cNvSpPr>
          <a:spLocks noChangeShapeType="1"/>
        </xdr:cNvSpPr>
      </xdr:nvSpPr>
      <xdr:spPr bwMode="auto">
        <a:xfrm>
          <a:off x="8315325" y="623887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190500</xdr:colOff>
      <xdr:row>11</xdr:row>
      <xdr:rowOff>0</xdr:rowOff>
    </xdr:from>
    <xdr:to>
      <xdr:col>24</xdr:col>
      <xdr:colOff>180975</xdr:colOff>
      <xdr:row>11</xdr:row>
      <xdr:rowOff>0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D2F640C9-A2B9-4091-9B9E-A216CF19EEC0}"/>
            </a:ext>
          </a:extLst>
        </xdr:cNvPr>
        <xdr:cNvSpPr>
          <a:spLocks noChangeShapeType="1"/>
        </xdr:cNvSpPr>
      </xdr:nvSpPr>
      <xdr:spPr bwMode="auto">
        <a:xfrm>
          <a:off x="8353425" y="23907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209550</xdr:colOff>
      <xdr:row>7</xdr:row>
      <xdr:rowOff>19050</xdr:rowOff>
    </xdr:from>
    <xdr:to>
      <xdr:col>33</xdr:col>
      <xdr:colOff>85725</xdr:colOff>
      <xdr:row>9</xdr:row>
      <xdr:rowOff>9525</xdr:rowOff>
    </xdr:to>
    <xdr:grpSp>
      <xdr:nvGrpSpPr>
        <xdr:cNvPr id="16" name="Group 227">
          <a:extLst>
            <a:ext uri="{FF2B5EF4-FFF2-40B4-BE49-F238E27FC236}">
              <a16:creationId xmlns:a16="http://schemas.microsoft.com/office/drawing/2014/main" id="{71E415E6-1282-46CA-B731-B38431C806EC}"/>
            </a:ext>
          </a:extLst>
        </xdr:cNvPr>
        <xdr:cNvGrpSpPr>
          <a:grpSpLocks/>
        </xdr:cNvGrpSpPr>
      </xdr:nvGrpSpPr>
      <xdr:grpSpPr bwMode="auto">
        <a:xfrm>
          <a:off x="9443197" y="1610285"/>
          <a:ext cx="2565587" cy="393887"/>
          <a:chOff x="1010" y="143"/>
          <a:chExt cx="265" cy="41"/>
        </a:xfrm>
      </xdr:grpSpPr>
      <xdr:sp macro="" textlink="">
        <xdr:nvSpPr>
          <xdr:cNvPr id="17" name="Arc 228">
            <a:extLst>
              <a:ext uri="{FF2B5EF4-FFF2-40B4-BE49-F238E27FC236}">
                <a16:creationId xmlns:a16="http://schemas.microsoft.com/office/drawing/2014/main" id="{949A5D0D-AAC7-4AA5-85A0-027F581EE126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Arc 229">
            <a:extLst>
              <a:ext uri="{FF2B5EF4-FFF2-40B4-BE49-F238E27FC236}">
                <a16:creationId xmlns:a16="http://schemas.microsoft.com/office/drawing/2014/main" id="{E3B8BBC3-AEB5-45AD-A369-9B7E1CCC50AC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" name="Line 230">
            <a:extLst>
              <a:ext uri="{FF2B5EF4-FFF2-40B4-BE49-F238E27FC236}">
                <a16:creationId xmlns:a16="http://schemas.microsoft.com/office/drawing/2014/main" id="{352DAB76-6211-46C6-B531-7EA10FE478E4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200025</xdr:colOff>
      <xdr:row>11</xdr:row>
      <xdr:rowOff>0</xdr:rowOff>
    </xdr:from>
    <xdr:to>
      <xdr:col>33</xdr:col>
      <xdr:colOff>95250</xdr:colOff>
      <xdr:row>12</xdr:row>
      <xdr:rowOff>0</xdr:rowOff>
    </xdr:to>
    <xdr:grpSp>
      <xdr:nvGrpSpPr>
        <xdr:cNvPr id="20" name="Group 231">
          <a:extLst>
            <a:ext uri="{FF2B5EF4-FFF2-40B4-BE49-F238E27FC236}">
              <a16:creationId xmlns:a16="http://schemas.microsoft.com/office/drawing/2014/main" id="{96C7B40C-2B32-4021-90FA-78BF39072100}"/>
            </a:ext>
          </a:extLst>
        </xdr:cNvPr>
        <xdr:cNvGrpSpPr>
          <a:grpSpLocks/>
        </xdr:cNvGrpSpPr>
      </xdr:nvGrpSpPr>
      <xdr:grpSpPr bwMode="auto">
        <a:xfrm>
          <a:off x="9433672" y="2398059"/>
          <a:ext cx="2584637" cy="201706"/>
          <a:chOff x="1073" y="224"/>
          <a:chExt cx="267" cy="22"/>
        </a:xfrm>
      </xdr:grpSpPr>
      <xdr:grpSp>
        <xdr:nvGrpSpPr>
          <xdr:cNvPr id="21" name="Group 232">
            <a:extLst>
              <a:ext uri="{FF2B5EF4-FFF2-40B4-BE49-F238E27FC236}">
                <a16:creationId xmlns:a16="http://schemas.microsoft.com/office/drawing/2014/main" id="{211A411B-989E-41E4-963F-C17B234A1349}"/>
              </a:ext>
            </a:extLst>
          </xdr:cNvPr>
          <xdr:cNvGrpSpPr>
            <a:grpSpLocks/>
          </xdr:cNvGrpSpPr>
        </xdr:nvGrpSpPr>
        <xdr:grpSpPr bwMode="auto">
          <a:xfrm>
            <a:off x="1092" y="224"/>
            <a:ext cx="231" cy="22"/>
            <a:chOff x="1092" y="224"/>
            <a:chExt cx="204" cy="22"/>
          </a:xfrm>
        </xdr:grpSpPr>
        <xdr:sp macro="" textlink="">
          <xdr:nvSpPr>
            <xdr:cNvPr id="23" name="Line 233">
              <a:extLst>
                <a:ext uri="{FF2B5EF4-FFF2-40B4-BE49-F238E27FC236}">
                  <a16:creationId xmlns:a16="http://schemas.microsoft.com/office/drawing/2014/main" id="{3187CCEF-6ECD-4F76-9334-46609EB8CC1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3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" name="Line 234">
              <a:extLst>
                <a:ext uri="{FF2B5EF4-FFF2-40B4-BE49-F238E27FC236}">
                  <a16:creationId xmlns:a16="http://schemas.microsoft.com/office/drawing/2014/main" id="{9C42DDD2-4460-439A-B565-E96DBB8C0B5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55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235">
              <a:extLst>
                <a:ext uri="{FF2B5EF4-FFF2-40B4-BE49-F238E27FC236}">
                  <a16:creationId xmlns:a16="http://schemas.microsoft.com/office/drawing/2014/main" id="{15AB3A55-936D-472F-9D29-FA360E3AA9D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27" y="224"/>
              <a:ext cx="23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" name="Line 236">
              <a:extLst>
                <a:ext uri="{FF2B5EF4-FFF2-40B4-BE49-F238E27FC236}">
                  <a16:creationId xmlns:a16="http://schemas.microsoft.com/office/drawing/2014/main" id="{6A427C7C-BE2B-48B8-A12F-E39ED508190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61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237">
              <a:extLst>
                <a:ext uri="{FF2B5EF4-FFF2-40B4-BE49-F238E27FC236}">
                  <a16:creationId xmlns:a16="http://schemas.microsoft.com/office/drawing/2014/main" id="{A8992AFB-60F4-416C-95D7-859455EB5FA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92" y="224"/>
              <a:ext cx="24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Rectangle 238">
              <a:extLst>
                <a:ext uri="{FF2B5EF4-FFF2-40B4-BE49-F238E27FC236}">
                  <a16:creationId xmlns:a16="http://schemas.microsoft.com/office/drawing/2014/main" id="{8DA76249-6BAF-44E2-BE87-56F3A345F5A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92" y="224"/>
              <a:ext cx="204" cy="22"/>
            </a:xfrm>
            <a:prstGeom prst="rect">
              <a:avLst/>
            </a:prstGeom>
            <a:noFill/>
            <a:ln w="63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9" name="Line 239">
              <a:extLst>
                <a:ext uri="{FF2B5EF4-FFF2-40B4-BE49-F238E27FC236}">
                  <a16:creationId xmlns:a16="http://schemas.microsoft.com/office/drawing/2014/main" id="{267F56B3-E7B9-4CFF-B7F6-FD3A5D12B1ED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15" y="224"/>
              <a:ext cx="46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" name="Line 240">
              <a:extLst>
                <a:ext uri="{FF2B5EF4-FFF2-40B4-BE49-F238E27FC236}">
                  <a16:creationId xmlns:a16="http://schemas.microsoft.com/office/drawing/2014/main" id="{CA99BD8B-CF68-431B-B624-FFE24C1E475E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77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" name="Line 241">
              <a:extLst>
                <a:ext uri="{FF2B5EF4-FFF2-40B4-BE49-F238E27FC236}">
                  <a16:creationId xmlns:a16="http://schemas.microsoft.com/office/drawing/2014/main" id="{36903495-63E1-454E-A811-BA4AE1B9C2B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13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" name="Line 242">
              <a:extLst>
                <a:ext uri="{FF2B5EF4-FFF2-40B4-BE49-F238E27FC236}">
                  <a16:creationId xmlns:a16="http://schemas.microsoft.com/office/drawing/2014/main" id="{BA183FCB-5C9E-43A0-8326-7529B3493A6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47" y="224"/>
              <a:ext cx="22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" name="Line 243">
              <a:extLst>
                <a:ext uri="{FF2B5EF4-FFF2-40B4-BE49-F238E27FC236}">
                  <a16:creationId xmlns:a16="http://schemas.microsoft.com/office/drawing/2014/main" id="{073663C1-5B7D-478A-B150-01ACE6104739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80" y="238"/>
              <a:ext cx="16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" name="Line 244">
              <a:extLst>
                <a:ext uri="{FF2B5EF4-FFF2-40B4-BE49-F238E27FC236}">
                  <a16:creationId xmlns:a16="http://schemas.microsoft.com/office/drawing/2014/main" id="{C7018F51-C39B-4DFE-8515-1BC0ABFC96A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2" y="224"/>
              <a:ext cx="1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2" name="Line 245">
            <a:extLst>
              <a:ext uri="{FF2B5EF4-FFF2-40B4-BE49-F238E27FC236}">
                <a16:creationId xmlns:a16="http://schemas.microsoft.com/office/drawing/2014/main" id="{3C7D06F6-95F0-4D59-A5D6-6692797D50AA}"/>
              </a:ext>
            </a:extLst>
          </xdr:cNvPr>
          <xdr:cNvSpPr>
            <a:spLocks noChangeShapeType="1"/>
          </xdr:cNvSpPr>
        </xdr:nvSpPr>
        <xdr:spPr bwMode="auto">
          <a:xfrm>
            <a:off x="1073" y="246"/>
            <a:ext cx="26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85725</xdr:colOff>
      <xdr:row>6</xdr:row>
      <xdr:rowOff>85725</xdr:rowOff>
    </xdr:from>
    <xdr:to>
      <xdr:col>29</xdr:col>
      <xdr:colOff>142875</xdr:colOff>
      <xdr:row>7</xdr:row>
      <xdr:rowOff>152400</xdr:rowOff>
    </xdr:to>
    <xdr:grpSp>
      <xdr:nvGrpSpPr>
        <xdr:cNvPr id="35" name="Group 254">
          <a:extLst>
            <a:ext uri="{FF2B5EF4-FFF2-40B4-BE49-F238E27FC236}">
              <a16:creationId xmlns:a16="http://schemas.microsoft.com/office/drawing/2014/main" id="{6A1E11D5-4B26-4855-92B9-15827E552C3F}"/>
            </a:ext>
          </a:extLst>
        </xdr:cNvPr>
        <xdr:cNvGrpSpPr>
          <a:grpSpLocks/>
        </xdr:cNvGrpSpPr>
      </xdr:nvGrpSpPr>
      <xdr:grpSpPr bwMode="auto">
        <a:xfrm>
          <a:off x="9319372" y="1475254"/>
          <a:ext cx="1491503" cy="268381"/>
          <a:chOff x="998" y="129"/>
          <a:chExt cx="158" cy="28"/>
        </a:xfrm>
      </xdr:grpSpPr>
      <xdr:grpSp>
        <xdr:nvGrpSpPr>
          <xdr:cNvPr id="36" name="Group 255">
            <a:extLst>
              <a:ext uri="{FF2B5EF4-FFF2-40B4-BE49-F238E27FC236}">
                <a16:creationId xmlns:a16="http://schemas.microsoft.com/office/drawing/2014/main" id="{2A0FEC68-AA72-4BCF-B01D-259D8C9C0A15}"/>
              </a:ext>
            </a:extLst>
          </xdr:cNvPr>
          <xdr:cNvGrpSpPr>
            <a:grpSpLocks/>
          </xdr:cNvGrpSpPr>
        </xdr:nvGrpSpPr>
        <xdr:grpSpPr bwMode="auto">
          <a:xfrm>
            <a:off x="1131" y="129"/>
            <a:ext cx="25" cy="13"/>
            <a:chOff x="1141" y="147"/>
            <a:chExt cx="25" cy="13"/>
          </a:xfrm>
        </xdr:grpSpPr>
        <xdr:sp macro="" textlink="">
          <xdr:nvSpPr>
            <xdr:cNvPr id="40" name="Line 256">
              <a:extLst>
                <a:ext uri="{FF2B5EF4-FFF2-40B4-BE49-F238E27FC236}">
                  <a16:creationId xmlns:a16="http://schemas.microsoft.com/office/drawing/2014/main" id="{156F8F7F-6291-4229-B66D-91A404C6269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51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" name="Line 257">
              <a:extLst>
                <a:ext uri="{FF2B5EF4-FFF2-40B4-BE49-F238E27FC236}">
                  <a16:creationId xmlns:a16="http://schemas.microsoft.com/office/drawing/2014/main" id="{481B38CC-9AD8-4044-A9FB-02F0D6A97F0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6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" name="Line 258">
              <a:extLst>
                <a:ext uri="{FF2B5EF4-FFF2-40B4-BE49-F238E27FC236}">
                  <a16:creationId xmlns:a16="http://schemas.microsoft.com/office/drawing/2014/main" id="{28066976-81FD-4ED0-BD66-B3917C020CF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47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" name="Line 259">
              <a:extLst>
                <a:ext uri="{FF2B5EF4-FFF2-40B4-BE49-F238E27FC236}">
                  <a16:creationId xmlns:a16="http://schemas.microsoft.com/office/drawing/2014/main" id="{76C708AC-7370-46EB-9A60-EEC46779457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60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37" name="Group 260">
            <a:extLst>
              <a:ext uri="{FF2B5EF4-FFF2-40B4-BE49-F238E27FC236}">
                <a16:creationId xmlns:a16="http://schemas.microsoft.com/office/drawing/2014/main" id="{347F458E-14D7-4F34-BB04-7E077A8318CC}"/>
              </a:ext>
            </a:extLst>
          </xdr:cNvPr>
          <xdr:cNvGrpSpPr>
            <a:grpSpLocks/>
          </xdr:cNvGrpSpPr>
        </xdr:nvGrpSpPr>
        <xdr:grpSpPr bwMode="auto">
          <a:xfrm>
            <a:off x="998" y="131"/>
            <a:ext cx="122" cy="26"/>
            <a:chOff x="1025" y="125"/>
            <a:chExt cx="122" cy="26"/>
          </a:xfrm>
        </xdr:grpSpPr>
        <xdr:sp macro="" textlink="">
          <xdr:nvSpPr>
            <xdr:cNvPr id="38" name="Line 261">
              <a:extLst>
                <a:ext uri="{FF2B5EF4-FFF2-40B4-BE49-F238E27FC236}">
                  <a16:creationId xmlns:a16="http://schemas.microsoft.com/office/drawing/2014/main" id="{C935188D-8FF8-4095-8A83-20B3C48C0FE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25" y="126"/>
              <a:ext cx="20" cy="25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262">
              <a:extLst>
                <a:ext uri="{FF2B5EF4-FFF2-40B4-BE49-F238E27FC236}">
                  <a16:creationId xmlns:a16="http://schemas.microsoft.com/office/drawing/2014/main" id="{436C89D3-52DB-42B1-BD1A-AA3942E0AAD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6" y="125"/>
              <a:ext cx="101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 type="triangle" w="sm" len="sm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34</xdr:col>
      <xdr:colOff>19050</xdr:colOff>
      <xdr:row>9</xdr:row>
      <xdr:rowOff>19050</xdr:rowOff>
    </xdr:from>
    <xdr:to>
      <xdr:col>34</xdr:col>
      <xdr:colOff>47625</xdr:colOff>
      <xdr:row>30</xdr:row>
      <xdr:rowOff>0</xdr:rowOff>
    </xdr:to>
    <xdr:grpSp>
      <xdr:nvGrpSpPr>
        <xdr:cNvPr id="44" name="Group 263">
          <a:extLst>
            <a:ext uri="{FF2B5EF4-FFF2-40B4-BE49-F238E27FC236}">
              <a16:creationId xmlns:a16="http://schemas.microsoft.com/office/drawing/2014/main" id="{095B4994-B128-4040-AD01-64853C7488C7}"/>
            </a:ext>
          </a:extLst>
        </xdr:cNvPr>
        <xdr:cNvGrpSpPr>
          <a:grpSpLocks/>
        </xdr:cNvGrpSpPr>
      </xdr:nvGrpSpPr>
      <xdr:grpSpPr bwMode="auto">
        <a:xfrm>
          <a:off x="12222256" y="2013697"/>
          <a:ext cx="28575" cy="4272803"/>
          <a:chOff x="12065374" y="1767168"/>
          <a:chExt cx="28575" cy="4272803"/>
        </a:xfrm>
      </xdr:grpSpPr>
      <xdr:sp macro="" textlink="">
        <xdr:nvSpPr>
          <xdr:cNvPr id="45" name="Line 264">
            <a:extLst>
              <a:ext uri="{FF2B5EF4-FFF2-40B4-BE49-F238E27FC236}">
                <a16:creationId xmlns:a16="http://schemas.microsoft.com/office/drawing/2014/main" id="{29119844-B65A-46D3-9D22-CBA3165C8AC2}"/>
              </a:ext>
            </a:extLst>
          </xdr:cNvPr>
          <xdr:cNvSpPr>
            <a:spLocks noChangeShapeType="1"/>
          </xdr:cNvSpPr>
        </xdr:nvSpPr>
        <xdr:spPr bwMode="auto">
          <a:xfrm flipV="1">
            <a:off x="1324" y="223"/>
            <a:ext cx="0" cy="225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Line 265">
            <a:extLst>
              <a:ext uri="{FF2B5EF4-FFF2-40B4-BE49-F238E27FC236}">
                <a16:creationId xmlns:a16="http://schemas.microsoft.com/office/drawing/2014/main" id="{4B8F6112-33B1-48A9-A7C9-D77668DA197F}"/>
              </a:ext>
            </a:extLst>
          </xdr:cNvPr>
          <xdr:cNvSpPr>
            <a:spLocks noChangeShapeType="1"/>
          </xdr:cNvSpPr>
        </xdr:nvSpPr>
        <xdr:spPr bwMode="auto">
          <a:xfrm>
            <a:off x="1324" y="486"/>
            <a:ext cx="0" cy="227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28</xdr:col>
      <xdr:colOff>57150</xdr:colOff>
      <xdr:row>32</xdr:row>
      <xdr:rowOff>0</xdr:rowOff>
    </xdr:from>
    <xdr:to>
      <xdr:col>29</xdr:col>
      <xdr:colOff>76200</xdr:colOff>
      <xdr:row>32</xdr:row>
      <xdr:rowOff>161925</xdr:rowOff>
    </xdr:to>
    <xdr:grpSp>
      <xdr:nvGrpSpPr>
        <xdr:cNvPr id="47" name="Group 266">
          <a:extLst>
            <a:ext uri="{FF2B5EF4-FFF2-40B4-BE49-F238E27FC236}">
              <a16:creationId xmlns:a16="http://schemas.microsoft.com/office/drawing/2014/main" id="{10C5DE62-B12F-4230-BCF0-0EC75704A8E8}"/>
            </a:ext>
          </a:extLst>
        </xdr:cNvPr>
        <xdr:cNvGrpSpPr>
          <a:grpSpLocks/>
        </xdr:cNvGrpSpPr>
      </xdr:nvGrpSpPr>
      <xdr:grpSpPr bwMode="auto">
        <a:xfrm>
          <a:off x="10568268" y="6689912"/>
          <a:ext cx="175932" cy="161925"/>
          <a:chOff x="1146" y="785"/>
          <a:chExt cx="19" cy="17"/>
        </a:xfrm>
      </xdr:grpSpPr>
      <xdr:sp macro="" textlink="">
        <xdr:nvSpPr>
          <xdr:cNvPr id="48" name="Line 267">
            <a:extLst>
              <a:ext uri="{FF2B5EF4-FFF2-40B4-BE49-F238E27FC236}">
                <a16:creationId xmlns:a16="http://schemas.microsoft.com/office/drawing/2014/main" id="{F64047EC-89DC-4FBB-BE2A-6B0D926E0632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9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268">
            <a:extLst>
              <a:ext uri="{FF2B5EF4-FFF2-40B4-BE49-F238E27FC236}">
                <a16:creationId xmlns:a16="http://schemas.microsoft.com/office/drawing/2014/main" id="{034ABF36-D821-41B9-BE76-DCE14F277D1F}"/>
              </a:ext>
            </a:extLst>
          </xdr:cNvPr>
          <xdr:cNvSpPr>
            <a:spLocks noChangeShapeType="1"/>
          </xdr:cNvSpPr>
        </xdr:nvSpPr>
        <xdr:spPr bwMode="auto">
          <a:xfrm flipV="1">
            <a:off x="1160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269">
            <a:extLst>
              <a:ext uri="{FF2B5EF4-FFF2-40B4-BE49-F238E27FC236}">
                <a16:creationId xmlns:a16="http://schemas.microsoft.com/office/drawing/2014/main" id="{20E09B25-2C2B-43D2-896D-F887F140D90C}"/>
              </a:ext>
            </a:extLst>
          </xdr:cNvPr>
          <xdr:cNvSpPr>
            <a:spLocks noChangeShapeType="1"/>
          </xdr:cNvSpPr>
        </xdr:nvSpPr>
        <xdr:spPr bwMode="auto">
          <a:xfrm>
            <a:off x="1146" y="802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270">
            <a:extLst>
              <a:ext uri="{FF2B5EF4-FFF2-40B4-BE49-F238E27FC236}">
                <a16:creationId xmlns:a16="http://schemas.microsoft.com/office/drawing/2014/main" id="{D787CE9E-A0DD-4524-8D1C-F147A59D6D61}"/>
              </a:ext>
            </a:extLst>
          </xdr:cNvPr>
          <xdr:cNvSpPr>
            <a:spLocks noChangeShapeType="1"/>
          </xdr:cNvSpPr>
        </xdr:nvSpPr>
        <xdr:spPr bwMode="auto">
          <a:xfrm>
            <a:off x="1146" y="797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29</xdr:col>
      <xdr:colOff>142875</xdr:colOff>
      <xdr:row>32</xdr:row>
      <xdr:rowOff>57150</xdr:rowOff>
    </xdr:from>
    <xdr:to>
      <xdr:col>31</xdr:col>
      <xdr:colOff>190500</xdr:colOff>
      <xdr:row>32</xdr:row>
      <xdr:rowOff>133350</xdr:rowOff>
    </xdr:to>
    <xdr:sp macro="" textlink="">
      <xdr:nvSpPr>
        <xdr:cNvPr id="52" name="Line 271">
          <a:extLst>
            <a:ext uri="{FF2B5EF4-FFF2-40B4-BE49-F238E27FC236}">
              <a16:creationId xmlns:a16="http://schemas.microsoft.com/office/drawing/2014/main" id="{8E98CADA-B8C4-4380-B2E8-93E9E874DCFF}"/>
            </a:ext>
          </a:extLst>
        </xdr:cNvPr>
        <xdr:cNvSpPr>
          <a:spLocks noChangeShapeType="1"/>
        </xdr:cNvSpPr>
      </xdr:nvSpPr>
      <xdr:spPr bwMode="auto">
        <a:xfrm flipH="1" flipV="1">
          <a:off x="10848975" y="6696075"/>
          <a:ext cx="638175" cy="762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28575</xdr:colOff>
      <xdr:row>27</xdr:row>
      <xdr:rowOff>200025</xdr:rowOff>
    </xdr:from>
    <xdr:to>
      <xdr:col>28</xdr:col>
      <xdr:colOff>104775</xdr:colOff>
      <xdr:row>28</xdr:row>
      <xdr:rowOff>180975</xdr:rowOff>
    </xdr:to>
    <xdr:sp macro="" textlink="">
      <xdr:nvSpPr>
        <xdr:cNvPr id="53" name="AutoShape 272">
          <a:extLst>
            <a:ext uri="{FF2B5EF4-FFF2-40B4-BE49-F238E27FC236}">
              <a16:creationId xmlns:a16="http://schemas.microsoft.com/office/drawing/2014/main" id="{4790B17F-C32B-425E-9D97-58CE0FCD619F}"/>
            </a:ext>
          </a:extLst>
        </xdr:cNvPr>
        <xdr:cNvSpPr>
          <a:spLocks/>
        </xdr:cNvSpPr>
      </xdr:nvSpPr>
      <xdr:spPr bwMode="auto">
        <a:xfrm>
          <a:off x="10572750" y="5819775"/>
          <a:ext cx="76200" cy="200025"/>
        </a:xfrm>
        <a:prstGeom prst="rightBrace">
          <a:avLst>
            <a:gd name="adj1" fmla="val 21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22</xdr:row>
      <xdr:rowOff>0</xdr:rowOff>
    </xdr:from>
    <xdr:to>
      <xdr:col>28</xdr:col>
      <xdr:colOff>104775</xdr:colOff>
      <xdr:row>27</xdr:row>
      <xdr:rowOff>180975</xdr:rowOff>
    </xdr:to>
    <xdr:sp macro="" textlink="">
      <xdr:nvSpPr>
        <xdr:cNvPr id="54" name="AutoShape 273">
          <a:extLst>
            <a:ext uri="{FF2B5EF4-FFF2-40B4-BE49-F238E27FC236}">
              <a16:creationId xmlns:a16="http://schemas.microsoft.com/office/drawing/2014/main" id="{5B066131-A9EA-4811-BE46-75889679100E}"/>
            </a:ext>
          </a:extLst>
        </xdr:cNvPr>
        <xdr:cNvSpPr>
          <a:spLocks/>
        </xdr:cNvSpPr>
      </xdr:nvSpPr>
      <xdr:spPr bwMode="auto">
        <a:xfrm>
          <a:off x="10572750" y="4591050"/>
          <a:ext cx="76200" cy="1209675"/>
        </a:xfrm>
        <a:prstGeom prst="rightBrace">
          <a:avLst>
            <a:gd name="adj1" fmla="val 13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29</xdr:row>
      <xdr:rowOff>9525</xdr:rowOff>
    </xdr:from>
    <xdr:to>
      <xdr:col>28</xdr:col>
      <xdr:colOff>104775</xdr:colOff>
      <xdr:row>29</xdr:row>
      <xdr:rowOff>190500</xdr:rowOff>
    </xdr:to>
    <xdr:sp macro="" textlink="">
      <xdr:nvSpPr>
        <xdr:cNvPr id="55" name="AutoShape 274">
          <a:extLst>
            <a:ext uri="{FF2B5EF4-FFF2-40B4-BE49-F238E27FC236}">
              <a16:creationId xmlns:a16="http://schemas.microsoft.com/office/drawing/2014/main" id="{DFF0F300-A5F8-4945-9EA7-8F9E30415FFC}"/>
            </a:ext>
          </a:extLst>
        </xdr:cNvPr>
        <xdr:cNvSpPr>
          <a:spLocks/>
        </xdr:cNvSpPr>
      </xdr:nvSpPr>
      <xdr:spPr bwMode="auto">
        <a:xfrm>
          <a:off x="10572750" y="6048375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21</xdr:row>
      <xdr:rowOff>9525</xdr:rowOff>
    </xdr:from>
    <xdr:to>
      <xdr:col>28</xdr:col>
      <xdr:colOff>104775</xdr:colOff>
      <xdr:row>21</xdr:row>
      <xdr:rowOff>190500</xdr:rowOff>
    </xdr:to>
    <xdr:sp macro="" textlink="">
      <xdr:nvSpPr>
        <xdr:cNvPr id="56" name="AutoShape 275">
          <a:extLst>
            <a:ext uri="{FF2B5EF4-FFF2-40B4-BE49-F238E27FC236}">
              <a16:creationId xmlns:a16="http://schemas.microsoft.com/office/drawing/2014/main" id="{681FDF06-C5B4-4ACF-8036-3C10E08E8097}"/>
            </a:ext>
          </a:extLst>
        </xdr:cNvPr>
        <xdr:cNvSpPr>
          <a:spLocks/>
        </xdr:cNvSpPr>
      </xdr:nvSpPr>
      <xdr:spPr bwMode="auto">
        <a:xfrm>
          <a:off x="10572750" y="4400550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200025</xdr:colOff>
      <xdr:row>9</xdr:row>
      <xdr:rowOff>0</xdr:rowOff>
    </xdr:from>
    <xdr:to>
      <xdr:col>24</xdr:col>
      <xdr:colOff>200025</xdr:colOff>
      <xdr:row>30</xdr:row>
      <xdr:rowOff>9525</xdr:rowOff>
    </xdr:to>
    <xdr:sp macro="" textlink="">
      <xdr:nvSpPr>
        <xdr:cNvPr id="57" name="Line 276">
          <a:extLst>
            <a:ext uri="{FF2B5EF4-FFF2-40B4-BE49-F238E27FC236}">
              <a16:creationId xmlns:a16="http://schemas.microsoft.com/office/drawing/2014/main" id="{AEF38E06-24FA-41C8-A688-76A8C39604BE}"/>
            </a:ext>
          </a:extLst>
        </xdr:cNvPr>
        <xdr:cNvSpPr>
          <a:spLocks noChangeShapeType="1"/>
        </xdr:cNvSpPr>
      </xdr:nvSpPr>
      <xdr:spPr bwMode="auto">
        <a:xfrm>
          <a:off x="9467850" y="1990725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85725</xdr:colOff>
      <xdr:row>8</xdr:row>
      <xdr:rowOff>190500</xdr:rowOff>
    </xdr:from>
    <xdr:to>
      <xdr:col>33</xdr:col>
      <xdr:colOff>85725</xdr:colOff>
      <xdr:row>30</xdr:row>
      <xdr:rowOff>0</xdr:rowOff>
    </xdr:to>
    <xdr:sp macro="" textlink="">
      <xdr:nvSpPr>
        <xdr:cNvPr id="58" name="Line 277">
          <a:extLst>
            <a:ext uri="{FF2B5EF4-FFF2-40B4-BE49-F238E27FC236}">
              <a16:creationId xmlns:a16="http://schemas.microsoft.com/office/drawing/2014/main" id="{272E4DF4-E44D-473F-ADB5-C1785FEA73A1}"/>
            </a:ext>
          </a:extLst>
        </xdr:cNvPr>
        <xdr:cNvSpPr>
          <a:spLocks noChangeShapeType="1"/>
        </xdr:cNvSpPr>
      </xdr:nvSpPr>
      <xdr:spPr bwMode="auto">
        <a:xfrm>
          <a:off x="12058650" y="1981200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104775</xdr:colOff>
      <xdr:row>13</xdr:row>
      <xdr:rowOff>19050</xdr:rowOff>
    </xdr:from>
    <xdr:to>
      <xdr:col>28</xdr:col>
      <xdr:colOff>123825</xdr:colOff>
      <xdr:row>18</xdr:row>
      <xdr:rowOff>85725</xdr:rowOff>
    </xdr:to>
    <xdr:grpSp>
      <xdr:nvGrpSpPr>
        <xdr:cNvPr id="59" name="Group 278">
          <a:extLst>
            <a:ext uri="{FF2B5EF4-FFF2-40B4-BE49-F238E27FC236}">
              <a16:creationId xmlns:a16="http://schemas.microsoft.com/office/drawing/2014/main" id="{577FA6D0-D7D1-4AED-86C4-C0CA82C68823}"/>
            </a:ext>
          </a:extLst>
        </xdr:cNvPr>
        <xdr:cNvGrpSpPr>
          <a:grpSpLocks/>
        </xdr:cNvGrpSpPr>
      </xdr:nvGrpSpPr>
      <xdr:grpSpPr bwMode="auto">
        <a:xfrm>
          <a:off x="9618569" y="2820521"/>
          <a:ext cx="1016374" cy="1075204"/>
          <a:chOff x="941" y="269"/>
          <a:chExt cx="85" cy="72"/>
        </a:xfrm>
      </xdr:grpSpPr>
      <xdr:sp macro="" textlink="">
        <xdr:nvSpPr>
          <xdr:cNvPr id="60" name="Arc 279">
            <a:extLst>
              <a:ext uri="{FF2B5EF4-FFF2-40B4-BE49-F238E27FC236}">
                <a16:creationId xmlns:a16="http://schemas.microsoft.com/office/drawing/2014/main" id="{76167924-9485-4C09-AF0A-48F5BE827CC6}"/>
              </a:ext>
            </a:extLst>
          </xdr:cNvPr>
          <xdr:cNvSpPr>
            <a:spLocks/>
          </xdr:cNvSpPr>
        </xdr:nvSpPr>
        <xdr:spPr bwMode="auto">
          <a:xfrm flipV="1">
            <a:off x="953" y="278"/>
            <a:ext cx="32" cy="31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1" name="Line 280">
            <a:extLst>
              <a:ext uri="{FF2B5EF4-FFF2-40B4-BE49-F238E27FC236}">
                <a16:creationId xmlns:a16="http://schemas.microsoft.com/office/drawing/2014/main" id="{1444874F-AE68-4FEA-B26E-D00B20AFE13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3" y="331"/>
            <a:ext cx="3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" name="Line 281">
            <a:extLst>
              <a:ext uri="{FF2B5EF4-FFF2-40B4-BE49-F238E27FC236}">
                <a16:creationId xmlns:a16="http://schemas.microsoft.com/office/drawing/2014/main" id="{9CC04608-E934-4F1D-AA24-6CCA701797F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0" y="331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" name="Line 282">
            <a:extLst>
              <a:ext uri="{FF2B5EF4-FFF2-40B4-BE49-F238E27FC236}">
                <a16:creationId xmlns:a16="http://schemas.microsoft.com/office/drawing/2014/main" id="{79F24050-107C-4895-911C-05C2D8EC0199}"/>
              </a:ext>
            </a:extLst>
          </xdr:cNvPr>
          <xdr:cNvSpPr>
            <a:spLocks noChangeShapeType="1"/>
          </xdr:cNvSpPr>
        </xdr:nvSpPr>
        <xdr:spPr bwMode="auto">
          <a:xfrm flipV="1">
            <a:off x="983" y="273"/>
            <a:ext cx="3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" name="Line 283">
            <a:extLst>
              <a:ext uri="{FF2B5EF4-FFF2-40B4-BE49-F238E27FC236}">
                <a16:creationId xmlns:a16="http://schemas.microsoft.com/office/drawing/2014/main" id="{6ED11CBB-A1E8-404F-BF79-F087D653F73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85" y="273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" name="Oval 284">
            <a:extLst>
              <a:ext uri="{FF2B5EF4-FFF2-40B4-BE49-F238E27FC236}">
                <a16:creationId xmlns:a16="http://schemas.microsoft.com/office/drawing/2014/main" id="{3FA0A029-1D03-4C76-ABB7-035A3C61EB15}"/>
              </a:ext>
            </a:extLst>
          </xdr:cNvPr>
          <xdr:cNvSpPr>
            <a:spLocks noChangeArrowheads="1"/>
          </xdr:cNvSpPr>
        </xdr:nvSpPr>
        <xdr:spPr bwMode="auto">
          <a:xfrm>
            <a:off x="984" y="269"/>
            <a:ext cx="2" cy="2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" name="Oval 285">
            <a:extLst>
              <a:ext uri="{FF2B5EF4-FFF2-40B4-BE49-F238E27FC236}">
                <a16:creationId xmlns:a16="http://schemas.microsoft.com/office/drawing/2014/main" id="{35E301ED-66BE-4241-9A2C-327CAFE0289E}"/>
              </a:ext>
            </a:extLst>
          </xdr:cNvPr>
          <xdr:cNvSpPr>
            <a:spLocks noChangeArrowheads="1"/>
          </xdr:cNvSpPr>
        </xdr:nvSpPr>
        <xdr:spPr bwMode="auto">
          <a:xfrm>
            <a:off x="1021" y="338"/>
            <a:ext cx="4" cy="3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7" name="Freeform 286">
            <a:extLst>
              <a:ext uri="{FF2B5EF4-FFF2-40B4-BE49-F238E27FC236}">
                <a16:creationId xmlns:a16="http://schemas.microsoft.com/office/drawing/2014/main" id="{BA0EF105-78C7-4854-ABFF-CB4A4CA43E3B}"/>
              </a:ext>
            </a:extLst>
          </xdr:cNvPr>
          <xdr:cNvSpPr>
            <a:spLocks/>
          </xdr:cNvSpPr>
        </xdr:nvSpPr>
        <xdr:spPr bwMode="auto">
          <a:xfrm>
            <a:off x="941" y="288"/>
            <a:ext cx="82" cy="49"/>
          </a:xfrm>
          <a:custGeom>
            <a:avLst/>
            <a:gdLst>
              <a:gd name="T0" fmla="*/ 0 w 93"/>
              <a:gd name="T1" fmla="*/ 175 h 45"/>
              <a:gd name="T2" fmla="*/ 4 w 93"/>
              <a:gd name="T3" fmla="*/ 163 h 45"/>
              <a:gd name="T4" fmla="*/ 4 w 93"/>
              <a:gd name="T5" fmla="*/ 115 h 45"/>
              <a:gd name="T6" fmla="*/ 4 w 93"/>
              <a:gd name="T7" fmla="*/ 5 h 45"/>
              <a:gd name="T8" fmla="*/ 4 w 93"/>
              <a:gd name="T9" fmla="*/ 0 h 45"/>
              <a:gd name="T10" fmla="*/ 4 w 93"/>
              <a:gd name="T11" fmla="*/ 63 h 45"/>
              <a:gd name="T12" fmla="*/ 4 w 93"/>
              <a:gd name="T13" fmla="*/ 125 h 45"/>
              <a:gd name="T14" fmla="*/ 4 w 93"/>
              <a:gd name="T15" fmla="*/ 210 h 45"/>
              <a:gd name="T16" fmla="*/ 4 w 93"/>
              <a:gd name="T17" fmla="*/ 381 h 45"/>
              <a:gd name="T18" fmla="*/ 4 w 93"/>
              <a:gd name="T19" fmla="*/ 375 h 45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93"/>
              <a:gd name="T31" fmla="*/ 0 h 45"/>
              <a:gd name="T32" fmla="*/ 93 w 93"/>
              <a:gd name="T33" fmla="*/ 45 h 45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93" h="45">
                <a:moveTo>
                  <a:pt x="0" y="19"/>
                </a:moveTo>
                <a:cubicBezTo>
                  <a:pt x="8" y="19"/>
                  <a:pt x="17" y="19"/>
                  <a:pt x="25" y="18"/>
                </a:cubicBezTo>
                <a:cubicBezTo>
                  <a:pt x="33" y="17"/>
                  <a:pt x="43" y="15"/>
                  <a:pt x="49" y="13"/>
                </a:cubicBezTo>
                <a:cubicBezTo>
                  <a:pt x="55" y="11"/>
                  <a:pt x="56" y="7"/>
                  <a:pt x="60" y="5"/>
                </a:cubicBezTo>
                <a:cubicBezTo>
                  <a:pt x="64" y="3"/>
                  <a:pt x="70" y="0"/>
                  <a:pt x="74" y="0"/>
                </a:cubicBezTo>
                <a:cubicBezTo>
                  <a:pt x="78" y="0"/>
                  <a:pt x="84" y="4"/>
                  <a:pt x="87" y="6"/>
                </a:cubicBezTo>
                <a:cubicBezTo>
                  <a:pt x="90" y="8"/>
                  <a:pt x="91" y="11"/>
                  <a:pt x="92" y="14"/>
                </a:cubicBezTo>
                <a:cubicBezTo>
                  <a:pt x="93" y="17"/>
                  <a:pt x="93" y="19"/>
                  <a:pt x="93" y="24"/>
                </a:cubicBezTo>
                <a:cubicBezTo>
                  <a:pt x="93" y="29"/>
                  <a:pt x="93" y="39"/>
                  <a:pt x="93" y="42"/>
                </a:cubicBezTo>
                <a:cubicBezTo>
                  <a:pt x="93" y="45"/>
                  <a:pt x="93" y="42"/>
                  <a:pt x="93" y="4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228600</xdr:colOff>
      <xdr:row>29</xdr:row>
      <xdr:rowOff>180975</xdr:rowOff>
    </xdr:from>
    <xdr:to>
      <xdr:col>33</xdr:col>
      <xdr:colOff>104775</xdr:colOff>
      <xdr:row>31</xdr:row>
      <xdr:rowOff>171450</xdr:rowOff>
    </xdr:to>
    <xdr:grpSp>
      <xdr:nvGrpSpPr>
        <xdr:cNvPr id="68" name="Group 287">
          <a:extLst>
            <a:ext uri="{FF2B5EF4-FFF2-40B4-BE49-F238E27FC236}">
              <a16:creationId xmlns:a16="http://schemas.microsoft.com/office/drawing/2014/main" id="{B5F181FF-420F-44B4-B8E5-C669FD5B7DF1}"/>
            </a:ext>
          </a:extLst>
        </xdr:cNvPr>
        <xdr:cNvGrpSpPr>
          <a:grpSpLocks/>
        </xdr:cNvGrpSpPr>
      </xdr:nvGrpSpPr>
      <xdr:grpSpPr bwMode="auto">
        <a:xfrm rot="10800000">
          <a:off x="9462247" y="6265769"/>
          <a:ext cx="2565587" cy="393887"/>
          <a:chOff x="1010" y="143"/>
          <a:chExt cx="265" cy="41"/>
        </a:xfrm>
      </xdr:grpSpPr>
      <xdr:sp macro="" textlink="">
        <xdr:nvSpPr>
          <xdr:cNvPr id="69" name="Arc 288">
            <a:extLst>
              <a:ext uri="{FF2B5EF4-FFF2-40B4-BE49-F238E27FC236}">
                <a16:creationId xmlns:a16="http://schemas.microsoft.com/office/drawing/2014/main" id="{FAD3EDE2-870C-412D-97DA-B6EFC4930A4A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" name="Arc 289">
            <a:extLst>
              <a:ext uri="{FF2B5EF4-FFF2-40B4-BE49-F238E27FC236}">
                <a16:creationId xmlns:a16="http://schemas.microsoft.com/office/drawing/2014/main" id="{C46EBF33-90D2-4F92-8D21-2642221F5BC9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1" name="Line 290">
            <a:extLst>
              <a:ext uri="{FF2B5EF4-FFF2-40B4-BE49-F238E27FC236}">
                <a16:creationId xmlns:a16="http://schemas.microsoft.com/office/drawing/2014/main" id="{00E785AA-65A6-4160-81DB-371EBBC55F9C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85725</xdr:colOff>
      <xdr:row>15</xdr:row>
      <xdr:rowOff>104775</xdr:rowOff>
    </xdr:from>
    <xdr:to>
      <xdr:col>63</xdr:col>
      <xdr:colOff>190500</xdr:colOff>
      <xdr:row>16</xdr:row>
      <xdr:rowOff>95250</xdr:rowOff>
    </xdr:to>
    <xdr:grpSp>
      <xdr:nvGrpSpPr>
        <xdr:cNvPr id="72" name="Group 205">
          <a:extLst>
            <a:ext uri="{FF2B5EF4-FFF2-40B4-BE49-F238E27FC236}">
              <a16:creationId xmlns:a16="http://schemas.microsoft.com/office/drawing/2014/main" id="{CA1FCF30-D55C-4A0C-AC18-8AD598C3C679}"/>
            </a:ext>
          </a:extLst>
        </xdr:cNvPr>
        <xdr:cNvGrpSpPr>
          <a:grpSpLocks/>
        </xdr:cNvGrpSpPr>
      </xdr:nvGrpSpPr>
      <xdr:grpSpPr bwMode="auto">
        <a:xfrm>
          <a:off x="23506019" y="3309657"/>
          <a:ext cx="104775" cy="192181"/>
          <a:chOff x="999" y="386"/>
          <a:chExt cx="11" cy="20"/>
        </a:xfrm>
      </xdr:grpSpPr>
      <xdr:sp macro="" textlink="">
        <xdr:nvSpPr>
          <xdr:cNvPr id="73" name="Line 206">
            <a:extLst>
              <a:ext uri="{FF2B5EF4-FFF2-40B4-BE49-F238E27FC236}">
                <a16:creationId xmlns:a16="http://schemas.microsoft.com/office/drawing/2014/main" id="{F4DB2EE4-AAAF-49F6-A75D-F6E5ED1DBCCC}"/>
              </a:ext>
            </a:extLst>
          </xdr:cNvPr>
          <xdr:cNvSpPr>
            <a:spLocks noChangeShapeType="1"/>
          </xdr:cNvSpPr>
        </xdr:nvSpPr>
        <xdr:spPr bwMode="auto">
          <a:xfrm flipH="1">
            <a:off x="1004" y="390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" name="Line 207">
            <a:extLst>
              <a:ext uri="{FF2B5EF4-FFF2-40B4-BE49-F238E27FC236}">
                <a16:creationId xmlns:a16="http://schemas.microsoft.com/office/drawing/2014/main" id="{8BC41291-7D62-45F3-BB66-1B71E4A79249}"/>
              </a:ext>
            </a:extLst>
          </xdr:cNvPr>
          <xdr:cNvSpPr>
            <a:spLocks noChangeShapeType="1"/>
          </xdr:cNvSpPr>
        </xdr:nvSpPr>
        <xdr:spPr bwMode="auto">
          <a:xfrm>
            <a:off x="1004" y="404"/>
            <a:ext cx="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" name="Line 208">
            <a:extLst>
              <a:ext uri="{FF2B5EF4-FFF2-40B4-BE49-F238E27FC236}">
                <a16:creationId xmlns:a16="http://schemas.microsoft.com/office/drawing/2014/main" id="{E5B021C8-CC5E-4A04-B5E8-39FD57B93506}"/>
              </a:ext>
            </a:extLst>
          </xdr:cNvPr>
          <xdr:cNvSpPr>
            <a:spLocks noChangeShapeType="1"/>
          </xdr:cNvSpPr>
        </xdr:nvSpPr>
        <xdr:spPr bwMode="auto">
          <a:xfrm>
            <a:off x="999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209">
            <a:extLst>
              <a:ext uri="{FF2B5EF4-FFF2-40B4-BE49-F238E27FC236}">
                <a16:creationId xmlns:a16="http://schemas.microsoft.com/office/drawing/2014/main" id="{AC186081-1D2B-4066-8EAF-BBD12FC18D9B}"/>
              </a:ext>
            </a:extLst>
          </xdr:cNvPr>
          <xdr:cNvSpPr>
            <a:spLocks noChangeShapeType="1"/>
          </xdr:cNvSpPr>
        </xdr:nvSpPr>
        <xdr:spPr bwMode="auto">
          <a:xfrm>
            <a:off x="1003" y="386"/>
            <a:ext cx="0" cy="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61</xdr:col>
      <xdr:colOff>9525</xdr:colOff>
      <xdr:row>9</xdr:row>
      <xdr:rowOff>9525</xdr:rowOff>
    </xdr:from>
    <xdr:to>
      <xdr:col>61</xdr:col>
      <xdr:colOff>9525</xdr:colOff>
      <xdr:row>11</xdr:row>
      <xdr:rowOff>9525</xdr:rowOff>
    </xdr:to>
    <xdr:sp macro="" textlink="">
      <xdr:nvSpPr>
        <xdr:cNvPr id="77" name="Line 211">
          <a:extLst>
            <a:ext uri="{FF2B5EF4-FFF2-40B4-BE49-F238E27FC236}">
              <a16:creationId xmlns:a16="http://schemas.microsoft.com/office/drawing/2014/main" id="{42C60834-0BD7-44A1-B02E-565DAA2FF87A}"/>
            </a:ext>
          </a:extLst>
        </xdr:cNvPr>
        <xdr:cNvSpPr>
          <a:spLocks noChangeShapeType="1"/>
        </xdr:cNvSpPr>
      </xdr:nvSpPr>
      <xdr:spPr bwMode="auto">
        <a:xfrm flipH="1">
          <a:off x="22955250" y="2000250"/>
          <a:ext cx="0" cy="4000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11</xdr:row>
      <xdr:rowOff>0</xdr:rowOff>
    </xdr:from>
    <xdr:to>
      <xdr:col>61</xdr:col>
      <xdr:colOff>9525</xdr:colOff>
      <xdr:row>12</xdr:row>
      <xdr:rowOff>9525</xdr:rowOff>
    </xdr:to>
    <xdr:sp macro="" textlink="">
      <xdr:nvSpPr>
        <xdr:cNvPr id="78" name="Line 212">
          <a:extLst>
            <a:ext uri="{FF2B5EF4-FFF2-40B4-BE49-F238E27FC236}">
              <a16:creationId xmlns:a16="http://schemas.microsoft.com/office/drawing/2014/main" id="{8640D3D6-C879-482A-83A3-5343401A3110}"/>
            </a:ext>
          </a:extLst>
        </xdr:cNvPr>
        <xdr:cNvSpPr>
          <a:spLocks noChangeShapeType="1"/>
        </xdr:cNvSpPr>
      </xdr:nvSpPr>
      <xdr:spPr bwMode="auto">
        <a:xfrm>
          <a:off x="22955250" y="2390775"/>
          <a:ext cx="0" cy="20955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12</xdr:row>
      <xdr:rowOff>19050</xdr:rowOff>
    </xdr:from>
    <xdr:to>
      <xdr:col>61</xdr:col>
      <xdr:colOff>9525</xdr:colOff>
      <xdr:row>16</xdr:row>
      <xdr:rowOff>9525</xdr:rowOff>
    </xdr:to>
    <xdr:sp macro="" textlink="">
      <xdr:nvSpPr>
        <xdr:cNvPr id="79" name="Line 213">
          <a:extLst>
            <a:ext uri="{FF2B5EF4-FFF2-40B4-BE49-F238E27FC236}">
              <a16:creationId xmlns:a16="http://schemas.microsoft.com/office/drawing/2014/main" id="{E6D54658-957E-44B6-9B67-B7D3EABEA72B}"/>
            </a:ext>
          </a:extLst>
        </xdr:cNvPr>
        <xdr:cNvSpPr>
          <a:spLocks noChangeShapeType="1"/>
        </xdr:cNvSpPr>
      </xdr:nvSpPr>
      <xdr:spPr bwMode="auto">
        <a:xfrm>
          <a:off x="22955250" y="2609850"/>
          <a:ext cx="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16</xdr:row>
      <xdr:rowOff>0</xdr:rowOff>
    </xdr:from>
    <xdr:to>
      <xdr:col>61</xdr:col>
      <xdr:colOff>9525</xdr:colOff>
      <xdr:row>30</xdr:row>
      <xdr:rowOff>0</xdr:rowOff>
    </xdr:to>
    <xdr:sp macro="" textlink="">
      <xdr:nvSpPr>
        <xdr:cNvPr id="80" name="Line 217">
          <a:extLst>
            <a:ext uri="{FF2B5EF4-FFF2-40B4-BE49-F238E27FC236}">
              <a16:creationId xmlns:a16="http://schemas.microsoft.com/office/drawing/2014/main" id="{B8C9C5BB-141B-4BBA-9C7F-F9AD6A72EFA7}"/>
            </a:ext>
          </a:extLst>
        </xdr:cNvPr>
        <xdr:cNvSpPr>
          <a:spLocks noChangeShapeType="1"/>
        </xdr:cNvSpPr>
      </xdr:nvSpPr>
      <xdr:spPr bwMode="auto">
        <a:xfrm>
          <a:off x="22955250" y="3390900"/>
          <a:ext cx="0" cy="284797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171450</xdr:colOff>
      <xdr:row>9</xdr:row>
      <xdr:rowOff>0</xdr:rowOff>
    </xdr:from>
    <xdr:to>
      <xdr:col>63</xdr:col>
      <xdr:colOff>200025</xdr:colOff>
      <xdr:row>9</xdr:row>
      <xdr:rowOff>0</xdr:rowOff>
    </xdr:to>
    <xdr:sp macro="" textlink="">
      <xdr:nvSpPr>
        <xdr:cNvPr id="81" name="Line 218">
          <a:extLst>
            <a:ext uri="{FF2B5EF4-FFF2-40B4-BE49-F238E27FC236}">
              <a16:creationId xmlns:a16="http://schemas.microsoft.com/office/drawing/2014/main" id="{06E13524-9A5A-40EA-8070-53B64F5CF5DC}"/>
            </a:ext>
          </a:extLst>
        </xdr:cNvPr>
        <xdr:cNvSpPr>
          <a:spLocks noChangeShapeType="1"/>
        </xdr:cNvSpPr>
      </xdr:nvSpPr>
      <xdr:spPr bwMode="auto">
        <a:xfrm>
          <a:off x="22564725" y="199072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171450</xdr:colOff>
      <xdr:row>12</xdr:row>
      <xdr:rowOff>0</xdr:rowOff>
    </xdr:from>
    <xdr:to>
      <xdr:col>63</xdr:col>
      <xdr:colOff>200025</xdr:colOff>
      <xdr:row>12</xdr:row>
      <xdr:rowOff>0</xdr:rowOff>
    </xdr:to>
    <xdr:sp macro="" textlink="">
      <xdr:nvSpPr>
        <xdr:cNvPr id="82" name="Line 219">
          <a:extLst>
            <a:ext uri="{FF2B5EF4-FFF2-40B4-BE49-F238E27FC236}">
              <a16:creationId xmlns:a16="http://schemas.microsoft.com/office/drawing/2014/main" id="{FC9F87AE-7AFF-4956-9554-5A6AEB81834E}"/>
            </a:ext>
          </a:extLst>
        </xdr:cNvPr>
        <xdr:cNvSpPr>
          <a:spLocks noChangeShapeType="1"/>
        </xdr:cNvSpPr>
      </xdr:nvSpPr>
      <xdr:spPr bwMode="auto">
        <a:xfrm>
          <a:off x="22564725" y="2590800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190500</xdr:colOff>
      <xdr:row>16</xdr:row>
      <xdr:rowOff>0</xdr:rowOff>
    </xdr:from>
    <xdr:to>
      <xdr:col>63</xdr:col>
      <xdr:colOff>104775</xdr:colOff>
      <xdr:row>16</xdr:row>
      <xdr:rowOff>0</xdr:rowOff>
    </xdr:to>
    <xdr:sp macro="" textlink="">
      <xdr:nvSpPr>
        <xdr:cNvPr id="83" name="Line 220">
          <a:extLst>
            <a:ext uri="{FF2B5EF4-FFF2-40B4-BE49-F238E27FC236}">
              <a16:creationId xmlns:a16="http://schemas.microsoft.com/office/drawing/2014/main" id="{A8C00CF0-D6D1-42F0-90FF-FB29E3F0489A}"/>
            </a:ext>
          </a:extLst>
        </xdr:cNvPr>
        <xdr:cNvSpPr>
          <a:spLocks noChangeShapeType="1"/>
        </xdr:cNvSpPr>
      </xdr:nvSpPr>
      <xdr:spPr bwMode="auto">
        <a:xfrm>
          <a:off x="22583775" y="3390900"/>
          <a:ext cx="10191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152400</xdr:colOff>
      <xdr:row>30</xdr:row>
      <xdr:rowOff>0</xdr:rowOff>
    </xdr:from>
    <xdr:to>
      <xdr:col>63</xdr:col>
      <xdr:colOff>180975</xdr:colOff>
      <xdr:row>30</xdr:row>
      <xdr:rowOff>0</xdr:rowOff>
    </xdr:to>
    <xdr:sp macro="" textlink="">
      <xdr:nvSpPr>
        <xdr:cNvPr id="84" name="Line 224">
          <a:extLst>
            <a:ext uri="{FF2B5EF4-FFF2-40B4-BE49-F238E27FC236}">
              <a16:creationId xmlns:a16="http://schemas.microsoft.com/office/drawing/2014/main" id="{8B998273-D489-4B11-8673-BB999601B8AA}"/>
            </a:ext>
          </a:extLst>
        </xdr:cNvPr>
        <xdr:cNvSpPr>
          <a:spLocks noChangeShapeType="1"/>
        </xdr:cNvSpPr>
      </xdr:nvSpPr>
      <xdr:spPr bwMode="auto">
        <a:xfrm>
          <a:off x="22545675" y="6238875"/>
          <a:ext cx="11334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190500</xdr:colOff>
      <xdr:row>11</xdr:row>
      <xdr:rowOff>0</xdr:rowOff>
    </xdr:from>
    <xdr:to>
      <xdr:col>63</xdr:col>
      <xdr:colOff>180975</xdr:colOff>
      <xdr:row>11</xdr:row>
      <xdr:rowOff>0</xdr:rowOff>
    </xdr:to>
    <xdr:sp macro="" textlink="">
      <xdr:nvSpPr>
        <xdr:cNvPr id="85" name="Line 225">
          <a:extLst>
            <a:ext uri="{FF2B5EF4-FFF2-40B4-BE49-F238E27FC236}">
              <a16:creationId xmlns:a16="http://schemas.microsoft.com/office/drawing/2014/main" id="{F254FE72-B715-46D8-B1B1-58BC78340AF2}"/>
            </a:ext>
          </a:extLst>
        </xdr:cNvPr>
        <xdr:cNvSpPr>
          <a:spLocks noChangeShapeType="1"/>
        </xdr:cNvSpPr>
      </xdr:nvSpPr>
      <xdr:spPr bwMode="auto">
        <a:xfrm>
          <a:off x="22583775" y="23907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63</xdr:col>
      <xdr:colOff>209550</xdr:colOff>
      <xdr:row>7</xdr:row>
      <xdr:rowOff>19050</xdr:rowOff>
    </xdr:from>
    <xdr:to>
      <xdr:col>72</xdr:col>
      <xdr:colOff>85725</xdr:colOff>
      <xdr:row>9</xdr:row>
      <xdr:rowOff>9525</xdr:rowOff>
    </xdr:to>
    <xdr:grpSp>
      <xdr:nvGrpSpPr>
        <xdr:cNvPr id="86" name="Group 227">
          <a:extLst>
            <a:ext uri="{FF2B5EF4-FFF2-40B4-BE49-F238E27FC236}">
              <a16:creationId xmlns:a16="http://schemas.microsoft.com/office/drawing/2014/main" id="{3BEAE001-4DA9-4BDB-A798-879908ABF249}"/>
            </a:ext>
          </a:extLst>
        </xdr:cNvPr>
        <xdr:cNvGrpSpPr>
          <a:grpSpLocks/>
        </xdr:cNvGrpSpPr>
      </xdr:nvGrpSpPr>
      <xdr:grpSpPr bwMode="auto">
        <a:xfrm>
          <a:off x="23629844" y="1610285"/>
          <a:ext cx="2565587" cy="393887"/>
          <a:chOff x="1010" y="143"/>
          <a:chExt cx="265" cy="41"/>
        </a:xfrm>
      </xdr:grpSpPr>
      <xdr:sp macro="" textlink="">
        <xdr:nvSpPr>
          <xdr:cNvPr id="87" name="Arc 228">
            <a:extLst>
              <a:ext uri="{FF2B5EF4-FFF2-40B4-BE49-F238E27FC236}">
                <a16:creationId xmlns:a16="http://schemas.microsoft.com/office/drawing/2014/main" id="{9209AAE1-053C-487C-AD21-0143F292B16E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8" name="Arc 229">
            <a:extLst>
              <a:ext uri="{FF2B5EF4-FFF2-40B4-BE49-F238E27FC236}">
                <a16:creationId xmlns:a16="http://schemas.microsoft.com/office/drawing/2014/main" id="{A2978D99-79D4-40B5-ABD7-40F8B419C1D5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9" name="Line 230">
            <a:extLst>
              <a:ext uri="{FF2B5EF4-FFF2-40B4-BE49-F238E27FC236}">
                <a16:creationId xmlns:a16="http://schemas.microsoft.com/office/drawing/2014/main" id="{8E256329-F32D-463E-884B-C042935B6C1B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200025</xdr:colOff>
      <xdr:row>11</xdr:row>
      <xdr:rowOff>0</xdr:rowOff>
    </xdr:from>
    <xdr:to>
      <xdr:col>72</xdr:col>
      <xdr:colOff>95250</xdr:colOff>
      <xdr:row>12</xdr:row>
      <xdr:rowOff>0</xdr:rowOff>
    </xdr:to>
    <xdr:grpSp>
      <xdr:nvGrpSpPr>
        <xdr:cNvPr id="90" name="Group 231">
          <a:extLst>
            <a:ext uri="{FF2B5EF4-FFF2-40B4-BE49-F238E27FC236}">
              <a16:creationId xmlns:a16="http://schemas.microsoft.com/office/drawing/2014/main" id="{1BE331E4-2EB2-4751-B09C-34697F714B1B}"/>
            </a:ext>
          </a:extLst>
        </xdr:cNvPr>
        <xdr:cNvGrpSpPr>
          <a:grpSpLocks/>
        </xdr:cNvGrpSpPr>
      </xdr:nvGrpSpPr>
      <xdr:grpSpPr bwMode="auto">
        <a:xfrm>
          <a:off x="23620319" y="2398059"/>
          <a:ext cx="2584637" cy="201706"/>
          <a:chOff x="1073" y="224"/>
          <a:chExt cx="267" cy="22"/>
        </a:xfrm>
      </xdr:grpSpPr>
      <xdr:grpSp>
        <xdr:nvGrpSpPr>
          <xdr:cNvPr id="91" name="Group 232">
            <a:extLst>
              <a:ext uri="{FF2B5EF4-FFF2-40B4-BE49-F238E27FC236}">
                <a16:creationId xmlns:a16="http://schemas.microsoft.com/office/drawing/2014/main" id="{768A7529-6BF1-499A-99D7-6176E4A1327F}"/>
              </a:ext>
            </a:extLst>
          </xdr:cNvPr>
          <xdr:cNvGrpSpPr>
            <a:grpSpLocks/>
          </xdr:cNvGrpSpPr>
        </xdr:nvGrpSpPr>
        <xdr:grpSpPr bwMode="auto">
          <a:xfrm>
            <a:off x="1092" y="224"/>
            <a:ext cx="231" cy="22"/>
            <a:chOff x="1092" y="224"/>
            <a:chExt cx="204" cy="22"/>
          </a:xfrm>
        </xdr:grpSpPr>
        <xdr:sp macro="" textlink="">
          <xdr:nvSpPr>
            <xdr:cNvPr id="93" name="Line 233">
              <a:extLst>
                <a:ext uri="{FF2B5EF4-FFF2-40B4-BE49-F238E27FC236}">
                  <a16:creationId xmlns:a16="http://schemas.microsoft.com/office/drawing/2014/main" id="{5A2D7A2B-6B4C-4DF1-B252-DE34852FB36E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3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" name="Line 234">
              <a:extLst>
                <a:ext uri="{FF2B5EF4-FFF2-40B4-BE49-F238E27FC236}">
                  <a16:creationId xmlns:a16="http://schemas.microsoft.com/office/drawing/2014/main" id="{C3B61781-89C7-43AF-B388-8A8F8316625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55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" name="Line 235">
              <a:extLst>
                <a:ext uri="{FF2B5EF4-FFF2-40B4-BE49-F238E27FC236}">
                  <a16:creationId xmlns:a16="http://schemas.microsoft.com/office/drawing/2014/main" id="{CD105B05-23D5-4F9E-B721-478A93BB0E9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27" y="224"/>
              <a:ext cx="23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" name="Line 236">
              <a:extLst>
                <a:ext uri="{FF2B5EF4-FFF2-40B4-BE49-F238E27FC236}">
                  <a16:creationId xmlns:a16="http://schemas.microsoft.com/office/drawing/2014/main" id="{AD3C5D85-453A-46F8-8A21-A62ED6B8F211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61" y="224"/>
              <a:ext cx="28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" name="Line 237">
              <a:extLst>
                <a:ext uri="{FF2B5EF4-FFF2-40B4-BE49-F238E27FC236}">
                  <a16:creationId xmlns:a16="http://schemas.microsoft.com/office/drawing/2014/main" id="{601CE174-B02E-43F5-A21B-A725C73145C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92" y="224"/>
              <a:ext cx="24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" name="Rectangle 238">
              <a:extLst>
                <a:ext uri="{FF2B5EF4-FFF2-40B4-BE49-F238E27FC236}">
                  <a16:creationId xmlns:a16="http://schemas.microsoft.com/office/drawing/2014/main" id="{E04A9014-4657-4033-9D04-7D652DD313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92" y="224"/>
              <a:ext cx="204" cy="22"/>
            </a:xfrm>
            <a:prstGeom prst="rect">
              <a:avLst/>
            </a:prstGeom>
            <a:noFill/>
            <a:ln w="63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9" name="Line 239">
              <a:extLst>
                <a:ext uri="{FF2B5EF4-FFF2-40B4-BE49-F238E27FC236}">
                  <a16:creationId xmlns:a16="http://schemas.microsoft.com/office/drawing/2014/main" id="{4103EBE5-850E-4856-A5C5-09818DA38279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15" y="224"/>
              <a:ext cx="46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" name="Line 240">
              <a:extLst>
                <a:ext uri="{FF2B5EF4-FFF2-40B4-BE49-F238E27FC236}">
                  <a16:creationId xmlns:a16="http://schemas.microsoft.com/office/drawing/2014/main" id="{E6ADC4D5-1279-4F25-99F0-55B483DCC1C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77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" name="Line 241">
              <a:extLst>
                <a:ext uri="{FF2B5EF4-FFF2-40B4-BE49-F238E27FC236}">
                  <a16:creationId xmlns:a16="http://schemas.microsoft.com/office/drawing/2014/main" id="{4118BF08-701B-40F2-8E2A-D382BA46023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13" y="224"/>
              <a:ext cx="21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" name="Line 242">
              <a:extLst>
                <a:ext uri="{FF2B5EF4-FFF2-40B4-BE49-F238E27FC236}">
                  <a16:creationId xmlns:a16="http://schemas.microsoft.com/office/drawing/2014/main" id="{3A11AB97-D1E3-4569-8851-46D216E9E5E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47" y="224"/>
              <a:ext cx="22" cy="22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" name="Line 243">
              <a:extLst>
                <a:ext uri="{FF2B5EF4-FFF2-40B4-BE49-F238E27FC236}">
                  <a16:creationId xmlns:a16="http://schemas.microsoft.com/office/drawing/2014/main" id="{36DD2C64-ED5D-4153-9170-CECB2036474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280" y="238"/>
              <a:ext cx="16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" name="Line 244">
              <a:extLst>
                <a:ext uri="{FF2B5EF4-FFF2-40B4-BE49-F238E27FC236}">
                  <a16:creationId xmlns:a16="http://schemas.microsoft.com/office/drawing/2014/main" id="{EE59E67F-A457-4219-80EB-D6FE75324AA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092" y="224"/>
              <a:ext cx="10" cy="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92" name="Line 245">
            <a:extLst>
              <a:ext uri="{FF2B5EF4-FFF2-40B4-BE49-F238E27FC236}">
                <a16:creationId xmlns:a16="http://schemas.microsoft.com/office/drawing/2014/main" id="{6065394C-8338-4DDB-B4FA-C19AADB547CD}"/>
              </a:ext>
            </a:extLst>
          </xdr:cNvPr>
          <xdr:cNvSpPr>
            <a:spLocks noChangeShapeType="1"/>
          </xdr:cNvSpPr>
        </xdr:nvSpPr>
        <xdr:spPr bwMode="auto">
          <a:xfrm>
            <a:off x="1073" y="246"/>
            <a:ext cx="26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200025</xdr:colOff>
      <xdr:row>8</xdr:row>
      <xdr:rowOff>152400</xdr:rowOff>
    </xdr:from>
    <xdr:to>
      <xdr:col>72</xdr:col>
      <xdr:colOff>85725</xdr:colOff>
      <xdr:row>10</xdr:row>
      <xdr:rowOff>47625</xdr:rowOff>
    </xdr:to>
    <xdr:grpSp>
      <xdr:nvGrpSpPr>
        <xdr:cNvPr id="105" name="Group 249">
          <a:extLst>
            <a:ext uri="{FF2B5EF4-FFF2-40B4-BE49-F238E27FC236}">
              <a16:creationId xmlns:a16="http://schemas.microsoft.com/office/drawing/2014/main" id="{32FF5275-B2B1-456C-BA61-02E53970624F}"/>
            </a:ext>
          </a:extLst>
        </xdr:cNvPr>
        <xdr:cNvGrpSpPr>
          <a:grpSpLocks/>
        </xdr:cNvGrpSpPr>
      </xdr:nvGrpSpPr>
      <xdr:grpSpPr bwMode="auto">
        <a:xfrm>
          <a:off x="23620319" y="1945341"/>
          <a:ext cx="2575112" cy="298637"/>
          <a:chOff x="803" y="645"/>
          <a:chExt cx="203" cy="23"/>
        </a:xfrm>
      </xdr:grpSpPr>
      <xdr:sp macro="" textlink="">
        <xdr:nvSpPr>
          <xdr:cNvPr id="106" name="Line 250">
            <a:extLst>
              <a:ext uri="{FF2B5EF4-FFF2-40B4-BE49-F238E27FC236}">
                <a16:creationId xmlns:a16="http://schemas.microsoft.com/office/drawing/2014/main" id="{56C3966E-A848-480E-86A0-42A4F210DB54}"/>
              </a:ext>
            </a:extLst>
          </xdr:cNvPr>
          <xdr:cNvSpPr>
            <a:spLocks noChangeShapeType="1"/>
          </xdr:cNvSpPr>
        </xdr:nvSpPr>
        <xdr:spPr bwMode="auto">
          <a:xfrm flipH="1">
            <a:off x="804" y="657"/>
            <a:ext cx="71" cy="0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" name="Line 251">
            <a:extLst>
              <a:ext uri="{FF2B5EF4-FFF2-40B4-BE49-F238E27FC236}">
                <a16:creationId xmlns:a16="http://schemas.microsoft.com/office/drawing/2014/main" id="{DB7E6E9B-FAF5-4FE4-B263-856981BB198F}"/>
              </a:ext>
            </a:extLst>
          </xdr:cNvPr>
          <xdr:cNvSpPr>
            <a:spLocks noChangeShapeType="1"/>
          </xdr:cNvSpPr>
        </xdr:nvSpPr>
        <xdr:spPr bwMode="auto">
          <a:xfrm>
            <a:off x="934" y="656"/>
            <a:ext cx="72" cy="0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" name="Line 252">
            <a:extLst>
              <a:ext uri="{FF2B5EF4-FFF2-40B4-BE49-F238E27FC236}">
                <a16:creationId xmlns:a16="http://schemas.microsoft.com/office/drawing/2014/main" id="{14A24C9D-9994-4667-B5E7-1ACCB9631A0C}"/>
              </a:ext>
            </a:extLst>
          </xdr:cNvPr>
          <xdr:cNvSpPr>
            <a:spLocks noChangeShapeType="1"/>
          </xdr:cNvSpPr>
        </xdr:nvSpPr>
        <xdr:spPr bwMode="auto">
          <a:xfrm>
            <a:off x="803" y="647"/>
            <a:ext cx="0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" name="Line 253">
            <a:extLst>
              <a:ext uri="{FF2B5EF4-FFF2-40B4-BE49-F238E27FC236}">
                <a16:creationId xmlns:a16="http://schemas.microsoft.com/office/drawing/2014/main" id="{495587FF-EB3F-4162-8F5A-5609E241F6C6}"/>
              </a:ext>
            </a:extLst>
          </xdr:cNvPr>
          <xdr:cNvSpPr>
            <a:spLocks noChangeShapeType="1"/>
          </xdr:cNvSpPr>
        </xdr:nvSpPr>
        <xdr:spPr bwMode="auto">
          <a:xfrm>
            <a:off x="1006" y="645"/>
            <a:ext cx="0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63</xdr:col>
      <xdr:colOff>85725</xdr:colOff>
      <xdr:row>6</xdr:row>
      <xdr:rowOff>85725</xdr:rowOff>
    </xdr:from>
    <xdr:to>
      <xdr:col>68</xdr:col>
      <xdr:colOff>142875</xdr:colOff>
      <xdr:row>7</xdr:row>
      <xdr:rowOff>152400</xdr:rowOff>
    </xdr:to>
    <xdr:grpSp>
      <xdr:nvGrpSpPr>
        <xdr:cNvPr id="110" name="Group 254">
          <a:extLst>
            <a:ext uri="{FF2B5EF4-FFF2-40B4-BE49-F238E27FC236}">
              <a16:creationId xmlns:a16="http://schemas.microsoft.com/office/drawing/2014/main" id="{4BD8B39C-17F2-4EA2-89AC-BE7BD6A16EF9}"/>
            </a:ext>
          </a:extLst>
        </xdr:cNvPr>
        <xdr:cNvGrpSpPr>
          <a:grpSpLocks/>
        </xdr:cNvGrpSpPr>
      </xdr:nvGrpSpPr>
      <xdr:grpSpPr bwMode="auto">
        <a:xfrm>
          <a:off x="23506019" y="1475254"/>
          <a:ext cx="1491503" cy="268381"/>
          <a:chOff x="998" y="129"/>
          <a:chExt cx="158" cy="28"/>
        </a:xfrm>
      </xdr:grpSpPr>
      <xdr:grpSp>
        <xdr:nvGrpSpPr>
          <xdr:cNvPr id="111" name="Group 255">
            <a:extLst>
              <a:ext uri="{FF2B5EF4-FFF2-40B4-BE49-F238E27FC236}">
                <a16:creationId xmlns:a16="http://schemas.microsoft.com/office/drawing/2014/main" id="{A71DC7FB-8A25-4704-B4C4-3BFD36224D38}"/>
              </a:ext>
            </a:extLst>
          </xdr:cNvPr>
          <xdr:cNvGrpSpPr>
            <a:grpSpLocks/>
          </xdr:cNvGrpSpPr>
        </xdr:nvGrpSpPr>
        <xdr:grpSpPr bwMode="auto">
          <a:xfrm>
            <a:off x="1131" y="129"/>
            <a:ext cx="25" cy="13"/>
            <a:chOff x="1141" y="147"/>
            <a:chExt cx="25" cy="13"/>
          </a:xfrm>
        </xdr:grpSpPr>
        <xdr:sp macro="" textlink="">
          <xdr:nvSpPr>
            <xdr:cNvPr id="115" name="Line 256">
              <a:extLst>
                <a:ext uri="{FF2B5EF4-FFF2-40B4-BE49-F238E27FC236}">
                  <a16:creationId xmlns:a16="http://schemas.microsoft.com/office/drawing/2014/main" id="{5CAAA1D3-7C7A-4B03-BF19-08C1C86A4A1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51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" name="Line 257">
              <a:extLst>
                <a:ext uri="{FF2B5EF4-FFF2-40B4-BE49-F238E27FC236}">
                  <a16:creationId xmlns:a16="http://schemas.microsoft.com/office/drawing/2014/main" id="{D17842E0-D5F3-4F7D-96F2-B6DFD000F1F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6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" name="Line 258">
              <a:extLst>
                <a:ext uri="{FF2B5EF4-FFF2-40B4-BE49-F238E27FC236}">
                  <a16:creationId xmlns:a16="http://schemas.microsoft.com/office/drawing/2014/main" id="{FFF37909-DF87-4D5A-97A1-AEC5AE8C772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41" y="147"/>
              <a:ext cx="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" name="Line 259">
              <a:extLst>
                <a:ext uri="{FF2B5EF4-FFF2-40B4-BE49-F238E27FC236}">
                  <a16:creationId xmlns:a16="http://schemas.microsoft.com/office/drawing/2014/main" id="{5572457D-39E1-4843-A525-C22B5D1FAEB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60" y="151"/>
              <a:ext cx="0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12" name="Group 260">
            <a:extLst>
              <a:ext uri="{FF2B5EF4-FFF2-40B4-BE49-F238E27FC236}">
                <a16:creationId xmlns:a16="http://schemas.microsoft.com/office/drawing/2014/main" id="{F0B53799-6D70-4BA5-9451-EB3CA860E16B}"/>
              </a:ext>
            </a:extLst>
          </xdr:cNvPr>
          <xdr:cNvGrpSpPr>
            <a:grpSpLocks/>
          </xdr:cNvGrpSpPr>
        </xdr:nvGrpSpPr>
        <xdr:grpSpPr bwMode="auto">
          <a:xfrm>
            <a:off x="998" y="131"/>
            <a:ext cx="122" cy="26"/>
            <a:chOff x="1025" y="125"/>
            <a:chExt cx="122" cy="26"/>
          </a:xfrm>
        </xdr:grpSpPr>
        <xdr:sp macro="" textlink="">
          <xdr:nvSpPr>
            <xdr:cNvPr id="113" name="Line 261">
              <a:extLst>
                <a:ext uri="{FF2B5EF4-FFF2-40B4-BE49-F238E27FC236}">
                  <a16:creationId xmlns:a16="http://schemas.microsoft.com/office/drawing/2014/main" id="{DE7ECC42-2D58-4A8A-A3F9-418F18F9BDF2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25" y="126"/>
              <a:ext cx="20" cy="25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" name="Line 262">
              <a:extLst>
                <a:ext uri="{FF2B5EF4-FFF2-40B4-BE49-F238E27FC236}">
                  <a16:creationId xmlns:a16="http://schemas.microsoft.com/office/drawing/2014/main" id="{8CAE2CE9-BBBD-475B-BD72-9130B248334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6" y="125"/>
              <a:ext cx="101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 type="triangle" w="sm" len="sm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73</xdr:col>
      <xdr:colOff>19050</xdr:colOff>
      <xdr:row>9</xdr:row>
      <xdr:rowOff>19050</xdr:rowOff>
    </xdr:from>
    <xdr:to>
      <xdr:col>73</xdr:col>
      <xdr:colOff>47625</xdr:colOff>
      <xdr:row>30</xdr:row>
      <xdr:rowOff>0</xdr:rowOff>
    </xdr:to>
    <xdr:grpSp>
      <xdr:nvGrpSpPr>
        <xdr:cNvPr id="119" name="Group 263">
          <a:extLst>
            <a:ext uri="{FF2B5EF4-FFF2-40B4-BE49-F238E27FC236}">
              <a16:creationId xmlns:a16="http://schemas.microsoft.com/office/drawing/2014/main" id="{2D806064-50C9-4FB1-8584-4BA74CA7BDA1}"/>
            </a:ext>
          </a:extLst>
        </xdr:cNvPr>
        <xdr:cNvGrpSpPr>
          <a:grpSpLocks/>
        </xdr:cNvGrpSpPr>
      </xdr:nvGrpSpPr>
      <xdr:grpSpPr bwMode="auto">
        <a:xfrm>
          <a:off x="26408903" y="2013697"/>
          <a:ext cx="28575" cy="4272803"/>
          <a:chOff x="12065374" y="1767168"/>
          <a:chExt cx="28575" cy="4272803"/>
        </a:xfrm>
      </xdr:grpSpPr>
      <xdr:sp macro="" textlink="">
        <xdr:nvSpPr>
          <xdr:cNvPr id="120" name="Line 264">
            <a:extLst>
              <a:ext uri="{FF2B5EF4-FFF2-40B4-BE49-F238E27FC236}">
                <a16:creationId xmlns:a16="http://schemas.microsoft.com/office/drawing/2014/main" id="{A04D71B8-3BB8-4C05-BA7F-83CE876D1F61}"/>
              </a:ext>
            </a:extLst>
          </xdr:cNvPr>
          <xdr:cNvSpPr>
            <a:spLocks noChangeShapeType="1"/>
          </xdr:cNvSpPr>
        </xdr:nvSpPr>
        <xdr:spPr bwMode="auto">
          <a:xfrm flipV="1">
            <a:off x="1324" y="223"/>
            <a:ext cx="0" cy="225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" name="Line 265">
            <a:extLst>
              <a:ext uri="{FF2B5EF4-FFF2-40B4-BE49-F238E27FC236}">
                <a16:creationId xmlns:a16="http://schemas.microsoft.com/office/drawing/2014/main" id="{27D83EC6-5B63-4F25-94ED-68366718CD47}"/>
              </a:ext>
            </a:extLst>
          </xdr:cNvPr>
          <xdr:cNvSpPr>
            <a:spLocks noChangeShapeType="1"/>
          </xdr:cNvSpPr>
        </xdr:nvSpPr>
        <xdr:spPr bwMode="auto">
          <a:xfrm>
            <a:off x="1324" y="486"/>
            <a:ext cx="0" cy="227"/>
          </a:xfrm>
          <a:prstGeom prst="line">
            <a:avLst/>
          </a:prstGeom>
          <a:noFill/>
          <a:ln w="1">
            <a:solidFill>
              <a:srgbClr val="000000"/>
            </a:solidFill>
            <a:round/>
            <a:headEnd/>
            <a:tailEnd type="triangle" w="sm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67</xdr:col>
      <xdr:colOff>57150</xdr:colOff>
      <xdr:row>32</xdr:row>
      <xdr:rowOff>0</xdr:rowOff>
    </xdr:from>
    <xdr:to>
      <xdr:col>68</xdr:col>
      <xdr:colOff>76200</xdr:colOff>
      <xdr:row>32</xdr:row>
      <xdr:rowOff>161925</xdr:rowOff>
    </xdr:to>
    <xdr:grpSp>
      <xdr:nvGrpSpPr>
        <xdr:cNvPr id="122" name="Group 266">
          <a:extLst>
            <a:ext uri="{FF2B5EF4-FFF2-40B4-BE49-F238E27FC236}">
              <a16:creationId xmlns:a16="http://schemas.microsoft.com/office/drawing/2014/main" id="{AAF3F18A-9343-426F-9DAD-86715039946A}"/>
            </a:ext>
          </a:extLst>
        </xdr:cNvPr>
        <xdr:cNvGrpSpPr>
          <a:grpSpLocks/>
        </xdr:cNvGrpSpPr>
      </xdr:nvGrpSpPr>
      <xdr:grpSpPr bwMode="auto">
        <a:xfrm>
          <a:off x="24754915" y="6689912"/>
          <a:ext cx="175932" cy="161925"/>
          <a:chOff x="1146" y="785"/>
          <a:chExt cx="19" cy="17"/>
        </a:xfrm>
      </xdr:grpSpPr>
      <xdr:sp macro="" textlink="">
        <xdr:nvSpPr>
          <xdr:cNvPr id="123" name="Line 267">
            <a:extLst>
              <a:ext uri="{FF2B5EF4-FFF2-40B4-BE49-F238E27FC236}">
                <a16:creationId xmlns:a16="http://schemas.microsoft.com/office/drawing/2014/main" id="{DD9F7B85-4484-428B-80F9-A943C3BB0C16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9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4" name="Line 268">
            <a:extLst>
              <a:ext uri="{FF2B5EF4-FFF2-40B4-BE49-F238E27FC236}">
                <a16:creationId xmlns:a16="http://schemas.microsoft.com/office/drawing/2014/main" id="{7DD2CCCB-7958-40F6-A14F-E39D32361C8C}"/>
              </a:ext>
            </a:extLst>
          </xdr:cNvPr>
          <xdr:cNvSpPr>
            <a:spLocks noChangeShapeType="1"/>
          </xdr:cNvSpPr>
        </xdr:nvSpPr>
        <xdr:spPr bwMode="auto">
          <a:xfrm flipV="1">
            <a:off x="1160" y="785"/>
            <a:ext cx="0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5" name="Line 269">
            <a:extLst>
              <a:ext uri="{FF2B5EF4-FFF2-40B4-BE49-F238E27FC236}">
                <a16:creationId xmlns:a16="http://schemas.microsoft.com/office/drawing/2014/main" id="{0A378346-53B1-4708-95D4-597FCBF46CC4}"/>
              </a:ext>
            </a:extLst>
          </xdr:cNvPr>
          <xdr:cNvSpPr>
            <a:spLocks noChangeShapeType="1"/>
          </xdr:cNvSpPr>
        </xdr:nvSpPr>
        <xdr:spPr bwMode="auto">
          <a:xfrm>
            <a:off x="1146" y="802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6" name="Line 270">
            <a:extLst>
              <a:ext uri="{FF2B5EF4-FFF2-40B4-BE49-F238E27FC236}">
                <a16:creationId xmlns:a16="http://schemas.microsoft.com/office/drawing/2014/main" id="{18FA0204-F014-4484-97C9-8B660DD0FAEE}"/>
              </a:ext>
            </a:extLst>
          </xdr:cNvPr>
          <xdr:cNvSpPr>
            <a:spLocks noChangeShapeType="1"/>
          </xdr:cNvSpPr>
        </xdr:nvSpPr>
        <xdr:spPr bwMode="auto">
          <a:xfrm>
            <a:off x="1146" y="797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68</xdr:col>
      <xdr:colOff>142875</xdr:colOff>
      <xdr:row>32</xdr:row>
      <xdr:rowOff>57150</xdr:rowOff>
    </xdr:from>
    <xdr:to>
      <xdr:col>70</xdr:col>
      <xdr:colOff>190500</xdr:colOff>
      <xdr:row>32</xdr:row>
      <xdr:rowOff>133350</xdr:rowOff>
    </xdr:to>
    <xdr:sp macro="" textlink="">
      <xdr:nvSpPr>
        <xdr:cNvPr id="127" name="Line 271">
          <a:extLst>
            <a:ext uri="{FF2B5EF4-FFF2-40B4-BE49-F238E27FC236}">
              <a16:creationId xmlns:a16="http://schemas.microsoft.com/office/drawing/2014/main" id="{B2C9E97E-D2B8-461B-B697-750F0D1DB559}"/>
            </a:ext>
          </a:extLst>
        </xdr:cNvPr>
        <xdr:cNvSpPr>
          <a:spLocks noChangeShapeType="1"/>
        </xdr:cNvSpPr>
      </xdr:nvSpPr>
      <xdr:spPr bwMode="auto">
        <a:xfrm flipH="1" flipV="1">
          <a:off x="25079325" y="6696075"/>
          <a:ext cx="638175" cy="7620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28575</xdr:colOff>
      <xdr:row>27</xdr:row>
      <xdr:rowOff>200025</xdr:rowOff>
    </xdr:from>
    <xdr:to>
      <xdr:col>67</xdr:col>
      <xdr:colOff>104775</xdr:colOff>
      <xdr:row>28</xdr:row>
      <xdr:rowOff>180975</xdr:rowOff>
    </xdr:to>
    <xdr:sp macro="" textlink="">
      <xdr:nvSpPr>
        <xdr:cNvPr id="128" name="AutoShape 272">
          <a:extLst>
            <a:ext uri="{FF2B5EF4-FFF2-40B4-BE49-F238E27FC236}">
              <a16:creationId xmlns:a16="http://schemas.microsoft.com/office/drawing/2014/main" id="{09CBCC9C-D3EB-42F8-AE48-1B7F81B83BC0}"/>
            </a:ext>
          </a:extLst>
        </xdr:cNvPr>
        <xdr:cNvSpPr>
          <a:spLocks/>
        </xdr:cNvSpPr>
      </xdr:nvSpPr>
      <xdr:spPr bwMode="auto">
        <a:xfrm>
          <a:off x="24803100" y="5819775"/>
          <a:ext cx="76200" cy="200025"/>
        </a:xfrm>
        <a:prstGeom prst="rightBrace">
          <a:avLst>
            <a:gd name="adj1" fmla="val 21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22</xdr:row>
      <xdr:rowOff>0</xdr:rowOff>
    </xdr:from>
    <xdr:to>
      <xdr:col>67</xdr:col>
      <xdr:colOff>104775</xdr:colOff>
      <xdr:row>27</xdr:row>
      <xdr:rowOff>180975</xdr:rowOff>
    </xdr:to>
    <xdr:sp macro="" textlink="">
      <xdr:nvSpPr>
        <xdr:cNvPr id="129" name="AutoShape 273">
          <a:extLst>
            <a:ext uri="{FF2B5EF4-FFF2-40B4-BE49-F238E27FC236}">
              <a16:creationId xmlns:a16="http://schemas.microsoft.com/office/drawing/2014/main" id="{5F884F68-33A0-473F-B0DA-7E092F9ED86B}"/>
            </a:ext>
          </a:extLst>
        </xdr:cNvPr>
        <xdr:cNvSpPr>
          <a:spLocks/>
        </xdr:cNvSpPr>
      </xdr:nvSpPr>
      <xdr:spPr bwMode="auto">
        <a:xfrm>
          <a:off x="24803100" y="4591050"/>
          <a:ext cx="76200" cy="1209675"/>
        </a:xfrm>
        <a:prstGeom prst="rightBrace">
          <a:avLst>
            <a:gd name="adj1" fmla="val 13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29</xdr:row>
      <xdr:rowOff>9525</xdr:rowOff>
    </xdr:from>
    <xdr:to>
      <xdr:col>67</xdr:col>
      <xdr:colOff>104775</xdr:colOff>
      <xdr:row>29</xdr:row>
      <xdr:rowOff>190500</xdr:rowOff>
    </xdr:to>
    <xdr:sp macro="" textlink="">
      <xdr:nvSpPr>
        <xdr:cNvPr id="130" name="AutoShape 274">
          <a:extLst>
            <a:ext uri="{FF2B5EF4-FFF2-40B4-BE49-F238E27FC236}">
              <a16:creationId xmlns:a16="http://schemas.microsoft.com/office/drawing/2014/main" id="{44D153EC-8392-4D5C-B28A-713F6457415F}"/>
            </a:ext>
          </a:extLst>
        </xdr:cNvPr>
        <xdr:cNvSpPr>
          <a:spLocks/>
        </xdr:cNvSpPr>
      </xdr:nvSpPr>
      <xdr:spPr bwMode="auto">
        <a:xfrm>
          <a:off x="24803100" y="6048375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28575</xdr:colOff>
      <xdr:row>21</xdr:row>
      <xdr:rowOff>9525</xdr:rowOff>
    </xdr:from>
    <xdr:to>
      <xdr:col>67</xdr:col>
      <xdr:colOff>104775</xdr:colOff>
      <xdr:row>21</xdr:row>
      <xdr:rowOff>190500</xdr:rowOff>
    </xdr:to>
    <xdr:sp macro="" textlink="">
      <xdr:nvSpPr>
        <xdr:cNvPr id="131" name="AutoShape 275">
          <a:extLst>
            <a:ext uri="{FF2B5EF4-FFF2-40B4-BE49-F238E27FC236}">
              <a16:creationId xmlns:a16="http://schemas.microsoft.com/office/drawing/2014/main" id="{0706E556-687C-40F2-B472-CCCD5CF789AA}"/>
            </a:ext>
          </a:extLst>
        </xdr:cNvPr>
        <xdr:cNvSpPr>
          <a:spLocks/>
        </xdr:cNvSpPr>
      </xdr:nvSpPr>
      <xdr:spPr bwMode="auto">
        <a:xfrm>
          <a:off x="24803100" y="4400550"/>
          <a:ext cx="76200" cy="180975"/>
        </a:xfrm>
        <a:prstGeom prst="rightBrace">
          <a:avLst>
            <a:gd name="adj1" fmla="val 1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63</xdr:col>
      <xdr:colOff>200025</xdr:colOff>
      <xdr:row>9</xdr:row>
      <xdr:rowOff>0</xdr:rowOff>
    </xdr:from>
    <xdr:to>
      <xdr:col>63</xdr:col>
      <xdr:colOff>200025</xdr:colOff>
      <xdr:row>30</xdr:row>
      <xdr:rowOff>9525</xdr:rowOff>
    </xdr:to>
    <xdr:sp macro="" textlink="">
      <xdr:nvSpPr>
        <xdr:cNvPr id="132" name="Line 276">
          <a:extLst>
            <a:ext uri="{FF2B5EF4-FFF2-40B4-BE49-F238E27FC236}">
              <a16:creationId xmlns:a16="http://schemas.microsoft.com/office/drawing/2014/main" id="{7BED1E02-F08E-479D-B7F0-886106DFEF53}"/>
            </a:ext>
          </a:extLst>
        </xdr:cNvPr>
        <xdr:cNvSpPr>
          <a:spLocks noChangeShapeType="1"/>
        </xdr:cNvSpPr>
      </xdr:nvSpPr>
      <xdr:spPr bwMode="auto">
        <a:xfrm>
          <a:off x="23698200" y="1990725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85725</xdr:colOff>
      <xdr:row>8</xdr:row>
      <xdr:rowOff>190500</xdr:rowOff>
    </xdr:from>
    <xdr:to>
      <xdr:col>72</xdr:col>
      <xdr:colOff>85725</xdr:colOff>
      <xdr:row>30</xdr:row>
      <xdr:rowOff>0</xdr:rowOff>
    </xdr:to>
    <xdr:sp macro="" textlink="">
      <xdr:nvSpPr>
        <xdr:cNvPr id="133" name="Line 277">
          <a:extLst>
            <a:ext uri="{FF2B5EF4-FFF2-40B4-BE49-F238E27FC236}">
              <a16:creationId xmlns:a16="http://schemas.microsoft.com/office/drawing/2014/main" id="{A5510A43-3B1F-438E-B9F4-DB1B947DFE92}"/>
            </a:ext>
          </a:extLst>
        </xdr:cNvPr>
        <xdr:cNvSpPr>
          <a:spLocks noChangeShapeType="1"/>
        </xdr:cNvSpPr>
      </xdr:nvSpPr>
      <xdr:spPr bwMode="auto">
        <a:xfrm>
          <a:off x="26289000" y="1981200"/>
          <a:ext cx="0" cy="425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104775</xdr:colOff>
      <xdr:row>13</xdr:row>
      <xdr:rowOff>19050</xdr:rowOff>
    </xdr:from>
    <xdr:to>
      <xdr:col>67</xdr:col>
      <xdr:colOff>123825</xdr:colOff>
      <xdr:row>18</xdr:row>
      <xdr:rowOff>85725</xdr:rowOff>
    </xdr:to>
    <xdr:grpSp>
      <xdr:nvGrpSpPr>
        <xdr:cNvPr id="134" name="Group 278">
          <a:extLst>
            <a:ext uri="{FF2B5EF4-FFF2-40B4-BE49-F238E27FC236}">
              <a16:creationId xmlns:a16="http://schemas.microsoft.com/office/drawing/2014/main" id="{407E0067-DE88-4667-94B1-F2DB78ABA2F4}"/>
            </a:ext>
          </a:extLst>
        </xdr:cNvPr>
        <xdr:cNvGrpSpPr>
          <a:grpSpLocks/>
        </xdr:cNvGrpSpPr>
      </xdr:nvGrpSpPr>
      <xdr:grpSpPr bwMode="auto">
        <a:xfrm>
          <a:off x="23805216" y="2820521"/>
          <a:ext cx="1016374" cy="1075204"/>
          <a:chOff x="941" y="269"/>
          <a:chExt cx="85" cy="72"/>
        </a:xfrm>
      </xdr:grpSpPr>
      <xdr:sp macro="" textlink="">
        <xdr:nvSpPr>
          <xdr:cNvPr id="135" name="Arc 279">
            <a:extLst>
              <a:ext uri="{FF2B5EF4-FFF2-40B4-BE49-F238E27FC236}">
                <a16:creationId xmlns:a16="http://schemas.microsoft.com/office/drawing/2014/main" id="{013C197A-263E-4154-9270-533812848D42}"/>
              </a:ext>
            </a:extLst>
          </xdr:cNvPr>
          <xdr:cNvSpPr>
            <a:spLocks/>
          </xdr:cNvSpPr>
        </xdr:nvSpPr>
        <xdr:spPr bwMode="auto">
          <a:xfrm flipV="1">
            <a:off x="953" y="278"/>
            <a:ext cx="32" cy="31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6" name="Line 280">
            <a:extLst>
              <a:ext uri="{FF2B5EF4-FFF2-40B4-BE49-F238E27FC236}">
                <a16:creationId xmlns:a16="http://schemas.microsoft.com/office/drawing/2014/main" id="{531C09FE-DAA5-4560-BB00-693A5F55D09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3" y="331"/>
            <a:ext cx="3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7" name="Line 281">
            <a:extLst>
              <a:ext uri="{FF2B5EF4-FFF2-40B4-BE49-F238E27FC236}">
                <a16:creationId xmlns:a16="http://schemas.microsoft.com/office/drawing/2014/main" id="{759B9372-791B-4FAB-A41B-4B27BA79F5EA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0" y="331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8" name="Line 282">
            <a:extLst>
              <a:ext uri="{FF2B5EF4-FFF2-40B4-BE49-F238E27FC236}">
                <a16:creationId xmlns:a16="http://schemas.microsoft.com/office/drawing/2014/main" id="{CD7B076D-59E6-4AD4-9928-38C06A02065C}"/>
              </a:ext>
            </a:extLst>
          </xdr:cNvPr>
          <xdr:cNvSpPr>
            <a:spLocks noChangeShapeType="1"/>
          </xdr:cNvSpPr>
        </xdr:nvSpPr>
        <xdr:spPr bwMode="auto">
          <a:xfrm flipV="1">
            <a:off x="983" y="273"/>
            <a:ext cx="3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9" name="Line 283">
            <a:extLst>
              <a:ext uri="{FF2B5EF4-FFF2-40B4-BE49-F238E27FC236}">
                <a16:creationId xmlns:a16="http://schemas.microsoft.com/office/drawing/2014/main" id="{27E686AA-03DB-430B-A467-87BB1942743C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85" y="273"/>
            <a:ext cx="3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0" name="Oval 284">
            <a:extLst>
              <a:ext uri="{FF2B5EF4-FFF2-40B4-BE49-F238E27FC236}">
                <a16:creationId xmlns:a16="http://schemas.microsoft.com/office/drawing/2014/main" id="{A1CE0FC6-A34E-4121-B265-0584271A937E}"/>
              </a:ext>
            </a:extLst>
          </xdr:cNvPr>
          <xdr:cNvSpPr>
            <a:spLocks noChangeArrowheads="1"/>
          </xdr:cNvSpPr>
        </xdr:nvSpPr>
        <xdr:spPr bwMode="auto">
          <a:xfrm>
            <a:off x="984" y="269"/>
            <a:ext cx="2" cy="2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1" name="Oval 285">
            <a:extLst>
              <a:ext uri="{FF2B5EF4-FFF2-40B4-BE49-F238E27FC236}">
                <a16:creationId xmlns:a16="http://schemas.microsoft.com/office/drawing/2014/main" id="{DA56E409-7333-40E1-B013-371A75D78B7C}"/>
              </a:ext>
            </a:extLst>
          </xdr:cNvPr>
          <xdr:cNvSpPr>
            <a:spLocks noChangeArrowheads="1"/>
          </xdr:cNvSpPr>
        </xdr:nvSpPr>
        <xdr:spPr bwMode="auto">
          <a:xfrm>
            <a:off x="1021" y="338"/>
            <a:ext cx="4" cy="3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" name="Freeform 286">
            <a:extLst>
              <a:ext uri="{FF2B5EF4-FFF2-40B4-BE49-F238E27FC236}">
                <a16:creationId xmlns:a16="http://schemas.microsoft.com/office/drawing/2014/main" id="{6DE58BB4-D6AC-483A-94C3-112F4D08FB7F}"/>
              </a:ext>
            </a:extLst>
          </xdr:cNvPr>
          <xdr:cNvSpPr>
            <a:spLocks/>
          </xdr:cNvSpPr>
        </xdr:nvSpPr>
        <xdr:spPr bwMode="auto">
          <a:xfrm>
            <a:off x="941" y="288"/>
            <a:ext cx="82" cy="49"/>
          </a:xfrm>
          <a:custGeom>
            <a:avLst/>
            <a:gdLst>
              <a:gd name="T0" fmla="*/ 0 w 93"/>
              <a:gd name="T1" fmla="*/ 175 h 45"/>
              <a:gd name="T2" fmla="*/ 4 w 93"/>
              <a:gd name="T3" fmla="*/ 163 h 45"/>
              <a:gd name="T4" fmla="*/ 4 w 93"/>
              <a:gd name="T5" fmla="*/ 115 h 45"/>
              <a:gd name="T6" fmla="*/ 4 w 93"/>
              <a:gd name="T7" fmla="*/ 5 h 45"/>
              <a:gd name="T8" fmla="*/ 4 w 93"/>
              <a:gd name="T9" fmla="*/ 0 h 45"/>
              <a:gd name="T10" fmla="*/ 4 w 93"/>
              <a:gd name="T11" fmla="*/ 63 h 45"/>
              <a:gd name="T12" fmla="*/ 4 w 93"/>
              <a:gd name="T13" fmla="*/ 125 h 45"/>
              <a:gd name="T14" fmla="*/ 4 w 93"/>
              <a:gd name="T15" fmla="*/ 210 h 45"/>
              <a:gd name="T16" fmla="*/ 4 w 93"/>
              <a:gd name="T17" fmla="*/ 381 h 45"/>
              <a:gd name="T18" fmla="*/ 4 w 93"/>
              <a:gd name="T19" fmla="*/ 375 h 45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93"/>
              <a:gd name="T31" fmla="*/ 0 h 45"/>
              <a:gd name="T32" fmla="*/ 93 w 93"/>
              <a:gd name="T33" fmla="*/ 45 h 45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93" h="45">
                <a:moveTo>
                  <a:pt x="0" y="19"/>
                </a:moveTo>
                <a:cubicBezTo>
                  <a:pt x="8" y="19"/>
                  <a:pt x="17" y="19"/>
                  <a:pt x="25" y="18"/>
                </a:cubicBezTo>
                <a:cubicBezTo>
                  <a:pt x="33" y="17"/>
                  <a:pt x="43" y="15"/>
                  <a:pt x="49" y="13"/>
                </a:cubicBezTo>
                <a:cubicBezTo>
                  <a:pt x="55" y="11"/>
                  <a:pt x="56" y="7"/>
                  <a:pt x="60" y="5"/>
                </a:cubicBezTo>
                <a:cubicBezTo>
                  <a:pt x="64" y="3"/>
                  <a:pt x="70" y="0"/>
                  <a:pt x="74" y="0"/>
                </a:cubicBezTo>
                <a:cubicBezTo>
                  <a:pt x="78" y="0"/>
                  <a:pt x="84" y="4"/>
                  <a:pt x="87" y="6"/>
                </a:cubicBezTo>
                <a:cubicBezTo>
                  <a:pt x="90" y="8"/>
                  <a:pt x="91" y="11"/>
                  <a:pt x="92" y="14"/>
                </a:cubicBezTo>
                <a:cubicBezTo>
                  <a:pt x="93" y="17"/>
                  <a:pt x="93" y="19"/>
                  <a:pt x="93" y="24"/>
                </a:cubicBezTo>
                <a:cubicBezTo>
                  <a:pt x="93" y="29"/>
                  <a:pt x="93" y="39"/>
                  <a:pt x="93" y="42"/>
                </a:cubicBezTo>
                <a:cubicBezTo>
                  <a:pt x="93" y="45"/>
                  <a:pt x="93" y="42"/>
                  <a:pt x="93" y="4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63</xdr:col>
      <xdr:colOff>228600</xdr:colOff>
      <xdr:row>29</xdr:row>
      <xdr:rowOff>180975</xdr:rowOff>
    </xdr:from>
    <xdr:to>
      <xdr:col>72</xdr:col>
      <xdr:colOff>104775</xdr:colOff>
      <xdr:row>31</xdr:row>
      <xdr:rowOff>171450</xdr:rowOff>
    </xdr:to>
    <xdr:grpSp>
      <xdr:nvGrpSpPr>
        <xdr:cNvPr id="143" name="Group 287">
          <a:extLst>
            <a:ext uri="{FF2B5EF4-FFF2-40B4-BE49-F238E27FC236}">
              <a16:creationId xmlns:a16="http://schemas.microsoft.com/office/drawing/2014/main" id="{4279F0B8-9F8E-4BF9-A437-D860E3D8D355}"/>
            </a:ext>
          </a:extLst>
        </xdr:cNvPr>
        <xdr:cNvGrpSpPr>
          <a:grpSpLocks/>
        </xdr:cNvGrpSpPr>
      </xdr:nvGrpSpPr>
      <xdr:grpSpPr bwMode="auto">
        <a:xfrm rot="10800000">
          <a:off x="23648894" y="6265769"/>
          <a:ext cx="2565587" cy="393887"/>
          <a:chOff x="1010" y="143"/>
          <a:chExt cx="265" cy="41"/>
        </a:xfrm>
      </xdr:grpSpPr>
      <xdr:sp macro="" textlink="">
        <xdr:nvSpPr>
          <xdr:cNvPr id="144" name="Arc 288">
            <a:extLst>
              <a:ext uri="{FF2B5EF4-FFF2-40B4-BE49-F238E27FC236}">
                <a16:creationId xmlns:a16="http://schemas.microsoft.com/office/drawing/2014/main" id="{7AFE1371-9E9A-40F7-BFFD-2F230E7DB7D7}"/>
              </a:ext>
            </a:extLst>
          </xdr:cNvPr>
          <xdr:cNvSpPr>
            <a:spLocks/>
          </xdr:cNvSpPr>
        </xdr:nvSpPr>
        <xdr:spPr bwMode="auto">
          <a:xfrm flipH="1">
            <a:off x="1010" y="143"/>
            <a:ext cx="140" cy="41"/>
          </a:xfrm>
          <a:custGeom>
            <a:avLst/>
            <a:gdLst>
              <a:gd name="T0" fmla="*/ 0 w 21600"/>
              <a:gd name="T1" fmla="*/ 0 h 21588"/>
              <a:gd name="T2" fmla="*/ 0 w 21600"/>
              <a:gd name="T3" fmla="*/ 0 h 21588"/>
              <a:gd name="T4" fmla="*/ 0 w 21600"/>
              <a:gd name="T5" fmla="*/ 0 h 21588"/>
              <a:gd name="T6" fmla="*/ 0 60000 65536"/>
              <a:gd name="T7" fmla="*/ 0 60000 65536"/>
              <a:gd name="T8" fmla="*/ 0 60000 65536"/>
              <a:gd name="T9" fmla="*/ 0 w 21600"/>
              <a:gd name="T10" fmla="*/ 0 h 21588"/>
              <a:gd name="T11" fmla="*/ 21600 w 21600"/>
              <a:gd name="T12" fmla="*/ 21588 h 21588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588" fill="none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</a:path>
              <a:path w="21600" h="21588" stroke="0" extrusionOk="0">
                <a:moveTo>
                  <a:pt x="711" y="-1"/>
                </a:moveTo>
                <a:cubicBezTo>
                  <a:pt x="12357" y="383"/>
                  <a:pt x="21600" y="9935"/>
                  <a:pt x="21600" y="21588"/>
                </a:cubicBezTo>
                <a:lnTo>
                  <a:pt x="0" y="21588"/>
                </a:lnTo>
                <a:lnTo>
                  <a:pt x="711" y="-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5" name="Arc 289">
            <a:extLst>
              <a:ext uri="{FF2B5EF4-FFF2-40B4-BE49-F238E27FC236}">
                <a16:creationId xmlns:a16="http://schemas.microsoft.com/office/drawing/2014/main" id="{EFB93F42-EC19-4914-BBFF-C7A8914FA55F}"/>
              </a:ext>
            </a:extLst>
          </xdr:cNvPr>
          <xdr:cNvSpPr>
            <a:spLocks/>
          </xdr:cNvSpPr>
        </xdr:nvSpPr>
        <xdr:spPr bwMode="auto">
          <a:xfrm>
            <a:off x="1141" y="143"/>
            <a:ext cx="134" cy="40"/>
          </a:xfrm>
          <a:custGeom>
            <a:avLst/>
            <a:gdLst>
              <a:gd name="T0" fmla="*/ 0 w 23769"/>
              <a:gd name="T1" fmla="*/ 0 h 21600"/>
              <a:gd name="T2" fmla="*/ 0 w 23769"/>
              <a:gd name="T3" fmla="*/ 0 h 21600"/>
              <a:gd name="T4" fmla="*/ 0 w 23769"/>
              <a:gd name="T5" fmla="*/ 0 h 21600"/>
              <a:gd name="T6" fmla="*/ 0 60000 65536"/>
              <a:gd name="T7" fmla="*/ 0 60000 65536"/>
              <a:gd name="T8" fmla="*/ 0 60000 65536"/>
              <a:gd name="T9" fmla="*/ 0 w 23769"/>
              <a:gd name="T10" fmla="*/ 0 h 21600"/>
              <a:gd name="T11" fmla="*/ 23769 w 23769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3769" h="21600" fill="none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</a:path>
              <a:path w="23769" h="21600" stroke="0" extrusionOk="0">
                <a:moveTo>
                  <a:pt x="0" y="109"/>
                </a:moveTo>
                <a:cubicBezTo>
                  <a:pt x="720" y="36"/>
                  <a:pt x="1444" y="-1"/>
                  <a:pt x="2169" y="0"/>
                </a:cubicBezTo>
                <a:cubicBezTo>
                  <a:pt x="14098" y="0"/>
                  <a:pt x="23769" y="9670"/>
                  <a:pt x="23769" y="21600"/>
                </a:cubicBezTo>
                <a:lnTo>
                  <a:pt x="2169" y="21600"/>
                </a:lnTo>
                <a:lnTo>
                  <a:pt x="0" y="10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6" name="Line 290">
            <a:extLst>
              <a:ext uri="{FF2B5EF4-FFF2-40B4-BE49-F238E27FC236}">
                <a16:creationId xmlns:a16="http://schemas.microsoft.com/office/drawing/2014/main" id="{0D414030-8D15-493C-B1BD-FCC45069229D}"/>
              </a:ext>
            </a:extLst>
          </xdr:cNvPr>
          <xdr:cNvSpPr>
            <a:spLocks noChangeShapeType="1"/>
          </xdr:cNvSpPr>
        </xdr:nvSpPr>
        <xdr:spPr bwMode="auto">
          <a:xfrm>
            <a:off x="1010" y="183"/>
            <a:ext cx="26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33</xdr:col>
      <xdr:colOff>76200</xdr:colOff>
      <xdr:row>9</xdr:row>
      <xdr:rowOff>0</xdr:rowOff>
    </xdr:from>
    <xdr:to>
      <xdr:col>35</xdr:col>
      <xdr:colOff>19050</xdr:colOff>
      <xdr:row>9</xdr:row>
      <xdr:rowOff>0</xdr:rowOff>
    </xdr:to>
    <xdr:sp macro="" textlink="">
      <xdr:nvSpPr>
        <xdr:cNvPr id="147" name="Line 978">
          <a:extLst>
            <a:ext uri="{FF2B5EF4-FFF2-40B4-BE49-F238E27FC236}">
              <a16:creationId xmlns:a16="http://schemas.microsoft.com/office/drawing/2014/main" id="{8AF4CD83-CCFE-4663-BC3E-4A9DB0392867}"/>
            </a:ext>
          </a:extLst>
        </xdr:cNvPr>
        <xdr:cNvSpPr>
          <a:spLocks noChangeShapeType="1"/>
        </xdr:cNvSpPr>
      </xdr:nvSpPr>
      <xdr:spPr bwMode="auto">
        <a:xfrm>
          <a:off x="12049125" y="1990725"/>
          <a:ext cx="4953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85725</xdr:colOff>
      <xdr:row>30</xdr:row>
      <xdr:rowOff>0</xdr:rowOff>
    </xdr:from>
    <xdr:to>
      <xdr:col>35</xdr:col>
      <xdr:colOff>28575</xdr:colOff>
      <xdr:row>30</xdr:row>
      <xdr:rowOff>0</xdr:rowOff>
    </xdr:to>
    <xdr:sp macro="" textlink="">
      <xdr:nvSpPr>
        <xdr:cNvPr id="148" name="Line 980">
          <a:extLst>
            <a:ext uri="{FF2B5EF4-FFF2-40B4-BE49-F238E27FC236}">
              <a16:creationId xmlns:a16="http://schemas.microsoft.com/office/drawing/2014/main" id="{129E26F4-51DC-431B-B2E0-B4CDBA78F418}"/>
            </a:ext>
          </a:extLst>
        </xdr:cNvPr>
        <xdr:cNvSpPr>
          <a:spLocks noChangeShapeType="1"/>
        </xdr:cNvSpPr>
      </xdr:nvSpPr>
      <xdr:spPr bwMode="auto">
        <a:xfrm>
          <a:off x="12058650" y="6238875"/>
          <a:ext cx="4953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47625</xdr:colOff>
      <xdr:row>9</xdr:row>
      <xdr:rowOff>9525</xdr:rowOff>
    </xdr:from>
    <xdr:to>
      <xdr:col>34</xdr:col>
      <xdr:colOff>47625</xdr:colOff>
      <xdr:row>18</xdr:row>
      <xdr:rowOff>114300</xdr:rowOff>
    </xdr:to>
    <xdr:sp macro="" textlink="">
      <xdr:nvSpPr>
        <xdr:cNvPr id="149" name="Line 217">
          <a:extLst>
            <a:ext uri="{FF2B5EF4-FFF2-40B4-BE49-F238E27FC236}">
              <a16:creationId xmlns:a16="http://schemas.microsoft.com/office/drawing/2014/main" id="{DED2CA89-93DF-48FF-9112-B979B1EBD6D6}"/>
            </a:ext>
          </a:extLst>
        </xdr:cNvPr>
        <xdr:cNvSpPr>
          <a:spLocks noChangeShapeType="1"/>
        </xdr:cNvSpPr>
      </xdr:nvSpPr>
      <xdr:spPr bwMode="auto">
        <a:xfrm>
          <a:off x="12296775" y="2000250"/>
          <a:ext cx="0" cy="190500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200025</xdr:colOff>
      <xdr:row>9</xdr:row>
      <xdr:rowOff>95250</xdr:rowOff>
    </xdr:from>
    <xdr:to>
      <xdr:col>28</xdr:col>
      <xdr:colOff>19050</xdr:colOff>
      <xdr:row>9</xdr:row>
      <xdr:rowOff>95250</xdr:rowOff>
    </xdr:to>
    <xdr:sp macro="" textlink="">
      <xdr:nvSpPr>
        <xdr:cNvPr id="150" name="Line 983">
          <a:extLst>
            <a:ext uri="{FF2B5EF4-FFF2-40B4-BE49-F238E27FC236}">
              <a16:creationId xmlns:a16="http://schemas.microsoft.com/office/drawing/2014/main" id="{3F8AC72B-6233-4D26-9C5E-0892A8D945C0}"/>
            </a:ext>
          </a:extLst>
        </xdr:cNvPr>
        <xdr:cNvSpPr>
          <a:spLocks noChangeShapeType="1"/>
        </xdr:cNvSpPr>
      </xdr:nvSpPr>
      <xdr:spPr bwMode="auto">
        <a:xfrm>
          <a:off x="9467850" y="2085975"/>
          <a:ext cx="1095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400050</xdr:colOff>
      <xdr:row>9</xdr:row>
      <xdr:rowOff>104775</xdr:rowOff>
    </xdr:from>
    <xdr:to>
      <xdr:col>33</xdr:col>
      <xdr:colOff>85725</xdr:colOff>
      <xdr:row>9</xdr:row>
      <xdr:rowOff>104775</xdr:rowOff>
    </xdr:to>
    <xdr:sp macro="" textlink="">
      <xdr:nvSpPr>
        <xdr:cNvPr id="151" name="Line 985">
          <a:extLst>
            <a:ext uri="{FF2B5EF4-FFF2-40B4-BE49-F238E27FC236}">
              <a16:creationId xmlns:a16="http://schemas.microsoft.com/office/drawing/2014/main" id="{A712F0F2-5902-4216-907B-F19FFA094B05}"/>
            </a:ext>
          </a:extLst>
        </xdr:cNvPr>
        <xdr:cNvSpPr>
          <a:spLocks noChangeShapeType="1"/>
        </xdr:cNvSpPr>
      </xdr:nvSpPr>
      <xdr:spPr bwMode="auto">
        <a:xfrm>
          <a:off x="11106150" y="2095500"/>
          <a:ext cx="9525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47625</xdr:colOff>
      <xdr:row>20</xdr:row>
      <xdr:rowOff>104775</xdr:rowOff>
    </xdr:from>
    <xdr:to>
      <xdr:col>34</xdr:col>
      <xdr:colOff>47625</xdr:colOff>
      <xdr:row>30</xdr:row>
      <xdr:rowOff>9525</xdr:rowOff>
    </xdr:to>
    <xdr:sp macro="" textlink="">
      <xdr:nvSpPr>
        <xdr:cNvPr id="152" name="Line 986">
          <a:extLst>
            <a:ext uri="{FF2B5EF4-FFF2-40B4-BE49-F238E27FC236}">
              <a16:creationId xmlns:a16="http://schemas.microsoft.com/office/drawing/2014/main" id="{CA50E93E-20E3-4F70-A2EE-4D601AB51BFF}"/>
            </a:ext>
          </a:extLst>
        </xdr:cNvPr>
        <xdr:cNvSpPr>
          <a:spLocks noChangeShapeType="1"/>
        </xdr:cNvSpPr>
      </xdr:nvSpPr>
      <xdr:spPr bwMode="auto">
        <a:xfrm>
          <a:off x="12296775" y="4295775"/>
          <a:ext cx="0" cy="1952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.87.2.174\SENORO%20Project\JOB\K-3872\EQLIST_U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68;&#54788;\&#49324;&#50864;&#46356;\&#51060;&#50857;&#54840;\NIC\CV\&#50756;&#49457;\Incompressib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68;&#54788;\&#49324;&#50864;&#46356;\&#51060;&#50857;&#54840;\NIC\CV\&#50756;&#49457;\Compressib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.11.15.167\jed\Tech\Tech%202\Design%20Guide\Stationary\Drum_size\All_type_Drum_siz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TCH"/>
      <sheetName val="FLOW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pressible"/>
    </sheetNames>
    <definedNames>
      <definedName name="CriticPressure"/>
      <definedName name="DetPc"/>
      <definedName name="Enter"/>
      <definedName name="Module1.Trim_변경"/>
      <definedName name="Module1.ValveType_변경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essible"/>
    </sheetNames>
    <definedNames>
      <definedName name="DetHeatRaio"/>
      <definedName name="HeatRatio"/>
      <definedName name="PortSize"/>
      <definedName name="Valve_Select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용 설명서"/>
      <sheetName val="V-VESSEL (WITH DEMISTER)"/>
      <sheetName val="V-VESSEL (WITHOUT DEMISTER)"/>
      <sheetName val="H-VESSEL (WITH DEMI.)"/>
      <sheetName val="H-VESSEL (WITHOUT DEMI.)"/>
      <sheetName val="HOLDING TIM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080A-A1E8-40B6-AEA5-2055FF2631F1}">
  <sheetPr>
    <pageSetUpPr fitToPage="1"/>
  </sheetPr>
  <dimension ref="A1:CD84"/>
  <sheetViews>
    <sheetView showGridLines="0" tabSelected="1" view="pageBreakPreview" zoomScale="85" zoomScaleNormal="85" zoomScaleSheetLayoutView="85" workbookViewId="0">
      <selection activeCell="P52" sqref="P52"/>
    </sheetView>
  </sheetViews>
  <sheetFormatPr defaultRowHeight="15"/>
  <cols>
    <col min="1" max="5" width="5.625" style="1" customWidth="1"/>
    <col min="6" max="6" width="6.75" style="1" bestFit="1" customWidth="1"/>
    <col min="7" max="9" width="5.625" style="1" customWidth="1"/>
    <col min="10" max="10" width="1.625" style="1" customWidth="1"/>
    <col min="11" max="11" width="4.625" style="1" customWidth="1"/>
    <col min="12" max="19" width="5.625" style="1" customWidth="1"/>
    <col min="20" max="20" width="4.125" style="1" customWidth="1"/>
    <col min="21" max="25" width="3.625" style="1" customWidth="1"/>
    <col min="26" max="26" width="2.125" style="1" customWidth="1"/>
    <col min="27" max="27" width="5" style="1" customWidth="1"/>
    <col min="28" max="28" width="6" style="1" customWidth="1"/>
    <col min="29" max="29" width="2.125" style="1" customWidth="1"/>
    <col min="30" max="30" width="5.625" style="1" customWidth="1"/>
    <col min="31" max="31" width="2.125" style="1" customWidth="1"/>
    <col min="32" max="32" width="5.625" style="1" customWidth="1"/>
    <col min="33" max="33" width="3.25" style="115" customWidth="1"/>
    <col min="34" max="36" width="3.625" style="1" customWidth="1"/>
    <col min="37" max="39" width="6.625" style="1" customWidth="1"/>
    <col min="40" max="48" width="5.625" style="1" customWidth="1"/>
    <col min="49" max="49" width="1.625" style="1" customWidth="1"/>
    <col min="50" max="50" width="4.625" style="1" customWidth="1"/>
    <col min="51" max="58" width="5.625" style="1" customWidth="1"/>
    <col min="59" max="59" width="4.125" style="1" customWidth="1"/>
    <col min="60" max="64" width="3.625" style="1" customWidth="1"/>
    <col min="65" max="65" width="2.125" style="1" customWidth="1"/>
    <col min="66" max="66" width="5" style="1" customWidth="1"/>
    <col min="67" max="67" width="6" style="1" customWidth="1"/>
    <col min="68" max="68" width="2.125" style="1" customWidth="1"/>
    <col min="69" max="69" width="5.625" style="1" customWidth="1"/>
    <col min="70" max="70" width="2.125" style="1" customWidth="1"/>
    <col min="71" max="71" width="5.625" style="1" customWidth="1"/>
    <col min="72" max="72" width="3.25" style="115" customWidth="1"/>
    <col min="73" max="75" width="3.625" style="1" customWidth="1"/>
    <col min="76" max="78" width="6.625" style="1" customWidth="1"/>
    <col min="79" max="256" width="9" style="1"/>
    <col min="257" max="265" width="5.625" style="1" customWidth="1"/>
    <col min="266" max="266" width="1.625" style="1" customWidth="1"/>
    <col min="267" max="267" width="4.625" style="1" customWidth="1"/>
    <col min="268" max="275" width="5.625" style="1" customWidth="1"/>
    <col min="276" max="276" width="4.125" style="1" customWidth="1"/>
    <col min="277" max="281" width="3.625" style="1" customWidth="1"/>
    <col min="282" max="282" width="2.125" style="1" customWidth="1"/>
    <col min="283" max="283" width="5" style="1" customWidth="1"/>
    <col min="284" max="284" width="6" style="1" customWidth="1"/>
    <col min="285" max="285" width="2.125" style="1" customWidth="1"/>
    <col min="286" max="286" width="5.625" style="1" customWidth="1"/>
    <col min="287" max="287" width="2.125" style="1" customWidth="1"/>
    <col min="288" max="288" width="5.625" style="1" customWidth="1"/>
    <col min="289" max="289" width="3.25" style="1" customWidth="1"/>
    <col min="290" max="292" width="3.625" style="1" customWidth="1"/>
    <col min="293" max="295" width="6.625" style="1" customWidth="1"/>
    <col min="296" max="304" width="5.625" style="1" customWidth="1"/>
    <col min="305" max="305" width="1.625" style="1" customWidth="1"/>
    <col min="306" max="306" width="4.625" style="1" customWidth="1"/>
    <col min="307" max="314" width="5.625" style="1" customWidth="1"/>
    <col min="315" max="315" width="4.125" style="1" customWidth="1"/>
    <col min="316" max="320" width="3.625" style="1" customWidth="1"/>
    <col min="321" max="321" width="2.125" style="1" customWidth="1"/>
    <col min="322" max="322" width="5" style="1" customWidth="1"/>
    <col min="323" max="323" width="6" style="1" customWidth="1"/>
    <col min="324" max="324" width="2.125" style="1" customWidth="1"/>
    <col min="325" max="325" width="5.625" style="1" customWidth="1"/>
    <col min="326" max="326" width="2.125" style="1" customWidth="1"/>
    <col min="327" max="327" width="5.625" style="1" customWidth="1"/>
    <col min="328" max="328" width="3.25" style="1" customWidth="1"/>
    <col min="329" max="331" width="3.625" style="1" customWidth="1"/>
    <col min="332" max="334" width="6.625" style="1" customWidth="1"/>
    <col min="335" max="512" width="9" style="1"/>
    <col min="513" max="521" width="5.625" style="1" customWidth="1"/>
    <col min="522" max="522" width="1.625" style="1" customWidth="1"/>
    <col min="523" max="523" width="4.625" style="1" customWidth="1"/>
    <col min="524" max="531" width="5.625" style="1" customWidth="1"/>
    <col min="532" max="532" width="4.125" style="1" customWidth="1"/>
    <col min="533" max="537" width="3.625" style="1" customWidth="1"/>
    <col min="538" max="538" width="2.125" style="1" customWidth="1"/>
    <col min="539" max="539" width="5" style="1" customWidth="1"/>
    <col min="540" max="540" width="6" style="1" customWidth="1"/>
    <col min="541" max="541" width="2.125" style="1" customWidth="1"/>
    <col min="542" max="542" width="5.625" style="1" customWidth="1"/>
    <col min="543" max="543" width="2.125" style="1" customWidth="1"/>
    <col min="544" max="544" width="5.625" style="1" customWidth="1"/>
    <col min="545" max="545" width="3.25" style="1" customWidth="1"/>
    <col min="546" max="548" width="3.625" style="1" customWidth="1"/>
    <col min="549" max="551" width="6.625" style="1" customWidth="1"/>
    <col min="552" max="560" width="5.625" style="1" customWidth="1"/>
    <col min="561" max="561" width="1.625" style="1" customWidth="1"/>
    <col min="562" max="562" width="4.625" style="1" customWidth="1"/>
    <col min="563" max="570" width="5.625" style="1" customWidth="1"/>
    <col min="571" max="571" width="4.125" style="1" customWidth="1"/>
    <col min="572" max="576" width="3.625" style="1" customWidth="1"/>
    <col min="577" max="577" width="2.125" style="1" customWidth="1"/>
    <col min="578" max="578" width="5" style="1" customWidth="1"/>
    <col min="579" max="579" width="6" style="1" customWidth="1"/>
    <col min="580" max="580" width="2.125" style="1" customWidth="1"/>
    <col min="581" max="581" width="5.625" style="1" customWidth="1"/>
    <col min="582" max="582" width="2.125" style="1" customWidth="1"/>
    <col min="583" max="583" width="5.625" style="1" customWidth="1"/>
    <col min="584" max="584" width="3.25" style="1" customWidth="1"/>
    <col min="585" max="587" width="3.625" style="1" customWidth="1"/>
    <col min="588" max="590" width="6.625" style="1" customWidth="1"/>
    <col min="591" max="768" width="9" style="1"/>
    <col min="769" max="777" width="5.625" style="1" customWidth="1"/>
    <col min="778" max="778" width="1.625" style="1" customWidth="1"/>
    <col min="779" max="779" width="4.625" style="1" customWidth="1"/>
    <col min="780" max="787" width="5.625" style="1" customWidth="1"/>
    <col min="788" max="788" width="4.125" style="1" customWidth="1"/>
    <col min="789" max="793" width="3.625" style="1" customWidth="1"/>
    <col min="794" max="794" width="2.125" style="1" customWidth="1"/>
    <col min="795" max="795" width="5" style="1" customWidth="1"/>
    <col min="796" max="796" width="6" style="1" customWidth="1"/>
    <col min="797" max="797" width="2.125" style="1" customWidth="1"/>
    <col min="798" max="798" width="5.625" style="1" customWidth="1"/>
    <col min="799" max="799" width="2.125" style="1" customWidth="1"/>
    <col min="800" max="800" width="5.625" style="1" customWidth="1"/>
    <col min="801" max="801" width="3.25" style="1" customWidth="1"/>
    <col min="802" max="804" width="3.625" style="1" customWidth="1"/>
    <col min="805" max="807" width="6.625" style="1" customWidth="1"/>
    <col min="808" max="816" width="5.625" style="1" customWidth="1"/>
    <col min="817" max="817" width="1.625" style="1" customWidth="1"/>
    <col min="818" max="818" width="4.625" style="1" customWidth="1"/>
    <col min="819" max="826" width="5.625" style="1" customWidth="1"/>
    <col min="827" max="827" width="4.125" style="1" customWidth="1"/>
    <col min="828" max="832" width="3.625" style="1" customWidth="1"/>
    <col min="833" max="833" width="2.125" style="1" customWidth="1"/>
    <col min="834" max="834" width="5" style="1" customWidth="1"/>
    <col min="835" max="835" width="6" style="1" customWidth="1"/>
    <col min="836" max="836" width="2.125" style="1" customWidth="1"/>
    <col min="837" max="837" width="5.625" style="1" customWidth="1"/>
    <col min="838" max="838" width="2.125" style="1" customWidth="1"/>
    <col min="839" max="839" width="5.625" style="1" customWidth="1"/>
    <col min="840" max="840" width="3.25" style="1" customWidth="1"/>
    <col min="841" max="843" width="3.625" style="1" customWidth="1"/>
    <col min="844" max="846" width="6.625" style="1" customWidth="1"/>
    <col min="847" max="1024" width="9" style="1"/>
    <col min="1025" max="1033" width="5.625" style="1" customWidth="1"/>
    <col min="1034" max="1034" width="1.625" style="1" customWidth="1"/>
    <col min="1035" max="1035" width="4.625" style="1" customWidth="1"/>
    <col min="1036" max="1043" width="5.625" style="1" customWidth="1"/>
    <col min="1044" max="1044" width="4.125" style="1" customWidth="1"/>
    <col min="1045" max="1049" width="3.625" style="1" customWidth="1"/>
    <col min="1050" max="1050" width="2.125" style="1" customWidth="1"/>
    <col min="1051" max="1051" width="5" style="1" customWidth="1"/>
    <col min="1052" max="1052" width="6" style="1" customWidth="1"/>
    <col min="1053" max="1053" width="2.125" style="1" customWidth="1"/>
    <col min="1054" max="1054" width="5.625" style="1" customWidth="1"/>
    <col min="1055" max="1055" width="2.125" style="1" customWidth="1"/>
    <col min="1056" max="1056" width="5.625" style="1" customWidth="1"/>
    <col min="1057" max="1057" width="3.25" style="1" customWidth="1"/>
    <col min="1058" max="1060" width="3.625" style="1" customWidth="1"/>
    <col min="1061" max="1063" width="6.625" style="1" customWidth="1"/>
    <col min="1064" max="1072" width="5.625" style="1" customWidth="1"/>
    <col min="1073" max="1073" width="1.625" style="1" customWidth="1"/>
    <col min="1074" max="1074" width="4.625" style="1" customWidth="1"/>
    <col min="1075" max="1082" width="5.625" style="1" customWidth="1"/>
    <col min="1083" max="1083" width="4.125" style="1" customWidth="1"/>
    <col min="1084" max="1088" width="3.625" style="1" customWidth="1"/>
    <col min="1089" max="1089" width="2.125" style="1" customWidth="1"/>
    <col min="1090" max="1090" width="5" style="1" customWidth="1"/>
    <col min="1091" max="1091" width="6" style="1" customWidth="1"/>
    <col min="1092" max="1092" width="2.125" style="1" customWidth="1"/>
    <col min="1093" max="1093" width="5.625" style="1" customWidth="1"/>
    <col min="1094" max="1094" width="2.125" style="1" customWidth="1"/>
    <col min="1095" max="1095" width="5.625" style="1" customWidth="1"/>
    <col min="1096" max="1096" width="3.25" style="1" customWidth="1"/>
    <col min="1097" max="1099" width="3.625" style="1" customWidth="1"/>
    <col min="1100" max="1102" width="6.625" style="1" customWidth="1"/>
    <col min="1103" max="1280" width="9" style="1"/>
    <col min="1281" max="1289" width="5.625" style="1" customWidth="1"/>
    <col min="1290" max="1290" width="1.625" style="1" customWidth="1"/>
    <col min="1291" max="1291" width="4.625" style="1" customWidth="1"/>
    <col min="1292" max="1299" width="5.625" style="1" customWidth="1"/>
    <col min="1300" max="1300" width="4.125" style="1" customWidth="1"/>
    <col min="1301" max="1305" width="3.625" style="1" customWidth="1"/>
    <col min="1306" max="1306" width="2.125" style="1" customWidth="1"/>
    <col min="1307" max="1307" width="5" style="1" customWidth="1"/>
    <col min="1308" max="1308" width="6" style="1" customWidth="1"/>
    <col min="1309" max="1309" width="2.125" style="1" customWidth="1"/>
    <col min="1310" max="1310" width="5.625" style="1" customWidth="1"/>
    <col min="1311" max="1311" width="2.125" style="1" customWidth="1"/>
    <col min="1312" max="1312" width="5.625" style="1" customWidth="1"/>
    <col min="1313" max="1313" width="3.25" style="1" customWidth="1"/>
    <col min="1314" max="1316" width="3.625" style="1" customWidth="1"/>
    <col min="1317" max="1319" width="6.625" style="1" customWidth="1"/>
    <col min="1320" max="1328" width="5.625" style="1" customWidth="1"/>
    <col min="1329" max="1329" width="1.625" style="1" customWidth="1"/>
    <col min="1330" max="1330" width="4.625" style="1" customWidth="1"/>
    <col min="1331" max="1338" width="5.625" style="1" customWidth="1"/>
    <col min="1339" max="1339" width="4.125" style="1" customWidth="1"/>
    <col min="1340" max="1344" width="3.625" style="1" customWidth="1"/>
    <col min="1345" max="1345" width="2.125" style="1" customWidth="1"/>
    <col min="1346" max="1346" width="5" style="1" customWidth="1"/>
    <col min="1347" max="1347" width="6" style="1" customWidth="1"/>
    <col min="1348" max="1348" width="2.125" style="1" customWidth="1"/>
    <col min="1349" max="1349" width="5.625" style="1" customWidth="1"/>
    <col min="1350" max="1350" width="2.125" style="1" customWidth="1"/>
    <col min="1351" max="1351" width="5.625" style="1" customWidth="1"/>
    <col min="1352" max="1352" width="3.25" style="1" customWidth="1"/>
    <col min="1353" max="1355" width="3.625" style="1" customWidth="1"/>
    <col min="1356" max="1358" width="6.625" style="1" customWidth="1"/>
    <col min="1359" max="1536" width="9" style="1"/>
    <col min="1537" max="1545" width="5.625" style="1" customWidth="1"/>
    <col min="1546" max="1546" width="1.625" style="1" customWidth="1"/>
    <col min="1547" max="1547" width="4.625" style="1" customWidth="1"/>
    <col min="1548" max="1555" width="5.625" style="1" customWidth="1"/>
    <col min="1556" max="1556" width="4.125" style="1" customWidth="1"/>
    <col min="1557" max="1561" width="3.625" style="1" customWidth="1"/>
    <col min="1562" max="1562" width="2.125" style="1" customWidth="1"/>
    <col min="1563" max="1563" width="5" style="1" customWidth="1"/>
    <col min="1564" max="1564" width="6" style="1" customWidth="1"/>
    <col min="1565" max="1565" width="2.125" style="1" customWidth="1"/>
    <col min="1566" max="1566" width="5.625" style="1" customWidth="1"/>
    <col min="1567" max="1567" width="2.125" style="1" customWidth="1"/>
    <col min="1568" max="1568" width="5.625" style="1" customWidth="1"/>
    <col min="1569" max="1569" width="3.25" style="1" customWidth="1"/>
    <col min="1570" max="1572" width="3.625" style="1" customWidth="1"/>
    <col min="1573" max="1575" width="6.625" style="1" customWidth="1"/>
    <col min="1576" max="1584" width="5.625" style="1" customWidth="1"/>
    <col min="1585" max="1585" width="1.625" style="1" customWidth="1"/>
    <col min="1586" max="1586" width="4.625" style="1" customWidth="1"/>
    <col min="1587" max="1594" width="5.625" style="1" customWidth="1"/>
    <col min="1595" max="1595" width="4.125" style="1" customWidth="1"/>
    <col min="1596" max="1600" width="3.625" style="1" customWidth="1"/>
    <col min="1601" max="1601" width="2.125" style="1" customWidth="1"/>
    <col min="1602" max="1602" width="5" style="1" customWidth="1"/>
    <col min="1603" max="1603" width="6" style="1" customWidth="1"/>
    <col min="1604" max="1604" width="2.125" style="1" customWidth="1"/>
    <col min="1605" max="1605" width="5.625" style="1" customWidth="1"/>
    <col min="1606" max="1606" width="2.125" style="1" customWidth="1"/>
    <col min="1607" max="1607" width="5.625" style="1" customWidth="1"/>
    <col min="1608" max="1608" width="3.25" style="1" customWidth="1"/>
    <col min="1609" max="1611" width="3.625" style="1" customWidth="1"/>
    <col min="1612" max="1614" width="6.625" style="1" customWidth="1"/>
    <col min="1615" max="1792" width="9" style="1"/>
    <col min="1793" max="1801" width="5.625" style="1" customWidth="1"/>
    <col min="1802" max="1802" width="1.625" style="1" customWidth="1"/>
    <col min="1803" max="1803" width="4.625" style="1" customWidth="1"/>
    <col min="1804" max="1811" width="5.625" style="1" customWidth="1"/>
    <col min="1812" max="1812" width="4.125" style="1" customWidth="1"/>
    <col min="1813" max="1817" width="3.625" style="1" customWidth="1"/>
    <col min="1818" max="1818" width="2.125" style="1" customWidth="1"/>
    <col min="1819" max="1819" width="5" style="1" customWidth="1"/>
    <col min="1820" max="1820" width="6" style="1" customWidth="1"/>
    <col min="1821" max="1821" width="2.125" style="1" customWidth="1"/>
    <col min="1822" max="1822" width="5.625" style="1" customWidth="1"/>
    <col min="1823" max="1823" width="2.125" style="1" customWidth="1"/>
    <col min="1824" max="1824" width="5.625" style="1" customWidth="1"/>
    <col min="1825" max="1825" width="3.25" style="1" customWidth="1"/>
    <col min="1826" max="1828" width="3.625" style="1" customWidth="1"/>
    <col min="1829" max="1831" width="6.625" style="1" customWidth="1"/>
    <col min="1832" max="1840" width="5.625" style="1" customWidth="1"/>
    <col min="1841" max="1841" width="1.625" style="1" customWidth="1"/>
    <col min="1842" max="1842" width="4.625" style="1" customWidth="1"/>
    <col min="1843" max="1850" width="5.625" style="1" customWidth="1"/>
    <col min="1851" max="1851" width="4.125" style="1" customWidth="1"/>
    <col min="1852" max="1856" width="3.625" style="1" customWidth="1"/>
    <col min="1857" max="1857" width="2.125" style="1" customWidth="1"/>
    <col min="1858" max="1858" width="5" style="1" customWidth="1"/>
    <col min="1859" max="1859" width="6" style="1" customWidth="1"/>
    <col min="1860" max="1860" width="2.125" style="1" customWidth="1"/>
    <col min="1861" max="1861" width="5.625" style="1" customWidth="1"/>
    <col min="1862" max="1862" width="2.125" style="1" customWidth="1"/>
    <col min="1863" max="1863" width="5.625" style="1" customWidth="1"/>
    <col min="1864" max="1864" width="3.25" style="1" customWidth="1"/>
    <col min="1865" max="1867" width="3.625" style="1" customWidth="1"/>
    <col min="1868" max="1870" width="6.625" style="1" customWidth="1"/>
    <col min="1871" max="2048" width="9" style="1"/>
    <col min="2049" max="2057" width="5.625" style="1" customWidth="1"/>
    <col min="2058" max="2058" width="1.625" style="1" customWidth="1"/>
    <col min="2059" max="2059" width="4.625" style="1" customWidth="1"/>
    <col min="2060" max="2067" width="5.625" style="1" customWidth="1"/>
    <col min="2068" max="2068" width="4.125" style="1" customWidth="1"/>
    <col min="2069" max="2073" width="3.625" style="1" customWidth="1"/>
    <col min="2074" max="2074" width="2.125" style="1" customWidth="1"/>
    <col min="2075" max="2075" width="5" style="1" customWidth="1"/>
    <col min="2076" max="2076" width="6" style="1" customWidth="1"/>
    <col min="2077" max="2077" width="2.125" style="1" customWidth="1"/>
    <col min="2078" max="2078" width="5.625" style="1" customWidth="1"/>
    <col min="2079" max="2079" width="2.125" style="1" customWidth="1"/>
    <col min="2080" max="2080" width="5.625" style="1" customWidth="1"/>
    <col min="2081" max="2081" width="3.25" style="1" customWidth="1"/>
    <col min="2082" max="2084" width="3.625" style="1" customWidth="1"/>
    <col min="2085" max="2087" width="6.625" style="1" customWidth="1"/>
    <col min="2088" max="2096" width="5.625" style="1" customWidth="1"/>
    <col min="2097" max="2097" width="1.625" style="1" customWidth="1"/>
    <col min="2098" max="2098" width="4.625" style="1" customWidth="1"/>
    <col min="2099" max="2106" width="5.625" style="1" customWidth="1"/>
    <col min="2107" max="2107" width="4.125" style="1" customWidth="1"/>
    <col min="2108" max="2112" width="3.625" style="1" customWidth="1"/>
    <col min="2113" max="2113" width="2.125" style="1" customWidth="1"/>
    <col min="2114" max="2114" width="5" style="1" customWidth="1"/>
    <col min="2115" max="2115" width="6" style="1" customWidth="1"/>
    <col min="2116" max="2116" width="2.125" style="1" customWidth="1"/>
    <col min="2117" max="2117" width="5.625" style="1" customWidth="1"/>
    <col min="2118" max="2118" width="2.125" style="1" customWidth="1"/>
    <col min="2119" max="2119" width="5.625" style="1" customWidth="1"/>
    <col min="2120" max="2120" width="3.25" style="1" customWidth="1"/>
    <col min="2121" max="2123" width="3.625" style="1" customWidth="1"/>
    <col min="2124" max="2126" width="6.625" style="1" customWidth="1"/>
    <col min="2127" max="2304" width="9" style="1"/>
    <col min="2305" max="2313" width="5.625" style="1" customWidth="1"/>
    <col min="2314" max="2314" width="1.625" style="1" customWidth="1"/>
    <col min="2315" max="2315" width="4.625" style="1" customWidth="1"/>
    <col min="2316" max="2323" width="5.625" style="1" customWidth="1"/>
    <col min="2324" max="2324" width="4.125" style="1" customWidth="1"/>
    <col min="2325" max="2329" width="3.625" style="1" customWidth="1"/>
    <col min="2330" max="2330" width="2.125" style="1" customWidth="1"/>
    <col min="2331" max="2331" width="5" style="1" customWidth="1"/>
    <col min="2332" max="2332" width="6" style="1" customWidth="1"/>
    <col min="2333" max="2333" width="2.125" style="1" customWidth="1"/>
    <col min="2334" max="2334" width="5.625" style="1" customWidth="1"/>
    <col min="2335" max="2335" width="2.125" style="1" customWidth="1"/>
    <col min="2336" max="2336" width="5.625" style="1" customWidth="1"/>
    <col min="2337" max="2337" width="3.25" style="1" customWidth="1"/>
    <col min="2338" max="2340" width="3.625" style="1" customWidth="1"/>
    <col min="2341" max="2343" width="6.625" style="1" customWidth="1"/>
    <col min="2344" max="2352" width="5.625" style="1" customWidth="1"/>
    <col min="2353" max="2353" width="1.625" style="1" customWidth="1"/>
    <col min="2354" max="2354" width="4.625" style="1" customWidth="1"/>
    <col min="2355" max="2362" width="5.625" style="1" customWidth="1"/>
    <col min="2363" max="2363" width="4.125" style="1" customWidth="1"/>
    <col min="2364" max="2368" width="3.625" style="1" customWidth="1"/>
    <col min="2369" max="2369" width="2.125" style="1" customWidth="1"/>
    <col min="2370" max="2370" width="5" style="1" customWidth="1"/>
    <col min="2371" max="2371" width="6" style="1" customWidth="1"/>
    <col min="2372" max="2372" width="2.125" style="1" customWidth="1"/>
    <col min="2373" max="2373" width="5.625" style="1" customWidth="1"/>
    <col min="2374" max="2374" width="2.125" style="1" customWidth="1"/>
    <col min="2375" max="2375" width="5.625" style="1" customWidth="1"/>
    <col min="2376" max="2376" width="3.25" style="1" customWidth="1"/>
    <col min="2377" max="2379" width="3.625" style="1" customWidth="1"/>
    <col min="2380" max="2382" width="6.625" style="1" customWidth="1"/>
    <col min="2383" max="2560" width="9" style="1"/>
    <col min="2561" max="2569" width="5.625" style="1" customWidth="1"/>
    <col min="2570" max="2570" width="1.625" style="1" customWidth="1"/>
    <col min="2571" max="2571" width="4.625" style="1" customWidth="1"/>
    <col min="2572" max="2579" width="5.625" style="1" customWidth="1"/>
    <col min="2580" max="2580" width="4.125" style="1" customWidth="1"/>
    <col min="2581" max="2585" width="3.625" style="1" customWidth="1"/>
    <col min="2586" max="2586" width="2.125" style="1" customWidth="1"/>
    <col min="2587" max="2587" width="5" style="1" customWidth="1"/>
    <col min="2588" max="2588" width="6" style="1" customWidth="1"/>
    <col min="2589" max="2589" width="2.125" style="1" customWidth="1"/>
    <col min="2590" max="2590" width="5.625" style="1" customWidth="1"/>
    <col min="2591" max="2591" width="2.125" style="1" customWidth="1"/>
    <col min="2592" max="2592" width="5.625" style="1" customWidth="1"/>
    <col min="2593" max="2593" width="3.25" style="1" customWidth="1"/>
    <col min="2594" max="2596" width="3.625" style="1" customWidth="1"/>
    <col min="2597" max="2599" width="6.625" style="1" customWidth="1"/>
    <col min="2600" max="2608" width="5.625" style="1" customWidth="1"/>
    <col min="2609" max="2609" width="1.625" style="1" customWidth="1"/>
    <col min="2610" max="2610" width="4.625" style="1" customWidth="1"/>
    <col min="2611" max="2618" width="5.625" style="1" customWidth="1"/>
    <col min="2619" max="2619" width="4.125" style="1" customWidth="1"/>
    <col min="2620" max="2624" width="3.625" style="1" customWidth="1"/>
    <col min="2625" max="2625" width="2.125" style="1" customWidth="1"/>
    <col min="2626" max="2626" width="5" style="1" customWidth="1"/>
    <col min="2627" max="2627" width="6" style="1" customWidth="1"/>
    <col min="2628" max="2628" width="2.125" style="1" customWidth="1"/>
    <col min="2629" max="2629" width="5.625" style="1" customWidth="1"/>
    <col min="2630" max="2630" width="2.125" style="1" customWidth="1"/>
    <col min="2631" max="2631" width="5.625" style="1" customWidth="1"/>
    <col min="2632" max="2632" width="3.25" style="1" customWidth="1"/>
    <col min="2633" max="2635" width="3.625" style="1" customWidth="1"/>
    <col min="2636" max="2638" width="6.625" style="1" customWidth="1"/>
    <col min="2639" max="2816" width="9" style="1"/>
    <col min="2817" max="2825" width="5.625" style="1" customWidth="1"/>
    <col min="2826" max="2826" width="1.625" style="1" customWidth="1"/>
    <col min="2827" max="2827" width="4.625" style="1" customWidth="1"/>
    <col min="2828" max="2835" width="5.625" style="1" customWidth="1"/>
    <col min="2836" max="2836" width="4.125" style="1" customWidth="1"/>
    <col min="2837" max="2841" width="3.625" style="1" customWidth="1"/>
    <col min="2842" max="2842" width="2.125" style="1" customWidth="1"/>
    <col min="2843" max="2843" width="5" style="1" customWidth="1"/>
    <col min="2844" max="2844" width="6" style="1" customWidth="1"/>
    <col min="2845" max="2845" width="2.125" style="1" customWidth="1"/>
    <col min="2846" max="2846" width="5.625" style="1" customWidth="1"/>
    <col min="2847" max="2847" width="2.125" style="1" customWidth="1"/>
    <col min="2848" max="2848" width="5.625" style="1" customWidth="1"/>
    <col min="2849" max="2849" width="3.25" style="1" customWidth="1"/>
    <col min="2850" max="2852" width="3.625" style="1" customWidth="1"/>
    <col min="2853" max="2855" width="6.625" style="1" customWidth="1"/>
    <col min="2856" max="2864" width="5.625" style="1" customWidth="1"/>
    <col min="2865" max="2865" width="1.625" style="1" customWidth="1"/>
    <col min="2866" max="2866" width="4.625" style="1" customWidth="1"/>
    <col min="2867" max="2874" width="5.625" style="1" customWidth="1"/>
    <col min="2875" max="2875" width="4.125" style="1" customWidth="1"/>
    <col min="2876" max="2880" width="3.625" style="1" customWidth="1"/>
    <col min="2881" max="2881" width="2.125" style="1" customWidth="1"/>
    <col min="2882" max="2882" width="5" style="1" customWidth="1"/>
    <col min="2883" max="2883" width="6" style="1" customWidth="1"/>
    <col min="2884" max="2884" width="2.125" style="1" customWidth="1"/>
    <col min="2885" max="2885" width="5.625" style="1" customWidth="1"/>
    <col min="2886" max="2886" width="2.125" style="1" customWidth="1"/>
    <col min="2887" max="2887" width="5.625" style="1" customWidth="1"/>
    <col min="2888" max="2888" width="3.25" style="1" customWidth="1"/>
    <col min="2889" max="2891" width="3.625" style="1" customWidth="1"/>
    <col min="2892" max="2894" width="6.625" style="1" customWidth="1"/>
    <col min="2895" max="3072" width="9" style="1"/>
    <col min="3073" max="3081" width="5.625" style="1" customWidth="1"/>
    <col min="3082" max="3082" width="1.625" style="1" customWidth="1"/>
    <col min="3083" max="3083" width="4.625" style="1" customWidth="1"/>
    <col min="3084" max="3091" width="5.625" style="1" customWidth="1"/>
    <col min="3092" max="3092" width="4.125" style="1" customWidth="1"/>
    <col min="3093" max="3097" width="3.625" style="1" customWidth="1"/>
    <col min="3098" max="3098" width="2.125" style="1" customWidth="1"/>
    <col min="3099" max="3099" width="5" style="1" customWidth="1"/>
    <col min="3100" max="3100" width="6" style="1" customWidth="1"/>
    <col min="3101" max="3101" width="2.125" style="1" customWidth="1"/>
    <col min="3102" max="3102" width="5.625" style="1" customWidth="1"/>
    <col min="3103" max="3103" width="2.125" style="1" customWidth="1"/>
    <col min="3104" max="3104" width="5.625" style="1" customWidth="1"/>
    <col min="3105" max="3105" width="3.25" style="1" customWidth="1"/>
    <col min="3106" max="3108" width="3.625" style="1" customWidth="1"/>
    <col min="3109" max="3111" width="6.625" style="1" customWidth="1"/>
    <col min="3112" max="3120" width="5.625" style="1" customWidth="1"/>
    <col min="3121" max="3121" width="1.625" style="1" customWidth="1"/>
    <col min="3122" max="3122" width="4.625" style="1" customWidth="1"/>
    <col min="3123" max="3130" width="5.625" style="1" customWidth="1"/>
    <col min="3131" max="3131" width="4.125" style="1" customWidth="1"/>
    <col min="3132" max="3136" width="3.625" style="1" customWidth="1"/>
    <col min="3137" max="3137" width="2.125" style="1" customWidth="1"/>
    <col min="3138" max="3138" width="5" style="1" customWidth="1"/>
    <col min="3139" max="3139" width="6" style="1" customWidth="1"/>
    <col min="3140" max="3140" width="2.125" style="1" customWidth="1"/>
    <col min="3141" max="3141" width="5.625" style="1" customWidth="1"/>
    <col min="3142" max="3142" width="2.125" style="1" customWidth="1"/>
    <col min="3143" max="3143" width="5.625" style="1" customWidth="1"/>
    <col min="3144" max="3144" width="3.25" style="1" customWidth="1"/>
    <col min="3145" max="3147" width="3.625" style="1" customWidth="1"/>
    <col min="3148" max="3150" width="6.625" style="1" customWidth="1"/>
    <col min="3151" max="3328" width="9" style="1"/>
    <col min="3329" max="3337" width="5.625" style="1" customWidth="1"/>
    <col min="3338" max="3338" width="1.625" style="1" customWidth="1"/>
    <col min="3339" max="3339" width="4.625" style="1" customWidth="1"/>
    <col min="3340" max="3347" width="5.625" style="1" customWidth="1"/>
    <col min="3348" max="3348" width="4.125" style="1" customWidth="1"/>
    <col min="3349" max="3353" width="3.625" style="1" customWidth="1"/>
    <col min="3354" max="3354" width="2.125" style="1" customWidth="1"/>
    <col min="3355" max="3355" width="5" style="1" customWidth="1"/>
    <col min="3356" max="3356" width="6" style="1" customWidth="1"/>
    <col min="3357" max="3357" width="2.125" style="1" customWidth="1"/>
    <col min="3358" max="3358" width="5.625" style="1" customWidth="1"/>
    <col min="3359" max="3359" width="2.125" style="1" customWidth="1"/>
    <col min="3360" max="3360" width="5.625" style="1" customWidth="1"/>
    <col min="3361" max="3361" width="3.25" style="1" customWidth="1"/>
    <col min="3362" max="3364" width="3.625" style="1" customWidth="1"/>
    <col min="3365" max="3367" width="6.625" style="1" customWidth="1"/>
    <col min="3368" max="3376" width="5.625" style="1" customWidth="1"/>
    <col min="3377" max="3377" width="1.625" style="1" customWidth="1"/>
    <col min="3378" max="3378" width="4.625" style="1" customWidth="1"/>
    <col min="3379" max="3386" width="5.625" style="1" customWidth="1"/>
    <col min="3387" max="3387" width="4.125" style="1" customWidth="1"/>
    <col min="3388" max="3392" width="3.625" style="1" customWidth="1"/>
    <col min="3393" max="3393" width="2.125" style="1" customWidth="1"/>
    <col min="3394" max="3394" width="5" style="1" customWidth="1"/>
    <col min="3395" max="3395" width="6" style="1" customWidth="1"/>
    <col min="3396" max="3396" width="2.125" style="1" customWidth="1"/>
    <col min="3397" max="3397" width="5.625" style="1" customWidth="1"/>
    <col min="3398" max="3398" width="2.125" style="1" customWidth="1"/>
    <col min="3399" max="3399" width="5.625" style="1" customWidth="1"/>
    <col min="3400" max="3400" width="3.25" style="1" customWidth="1"/>
    <col min="3401" max="3403" width="3.625" style="1" customWidth="1"/>
    <col min="3404" max="3406" width="6.625" style="1" customWidth="1"/>
    <col min="3407" max="3584" width="9" style="1"/>
    <col min="3585" max="3593" width="5.625" style="1" customWidth="1"/>
    <col min="3594" max="3594" width="1.625" style="1" customWidth="1"/>
    <col min="3595" max="3595" width="4.625" style="1" customWidth="1"/>
    <col min="3596" max="3603" width="5.625" style="1" customWidth="1"/>
    <col min="3604" max="3604" width="4.125" style="1" customWidth="1"/>
    <col min="3605" max="3609" width="3.625" style="1" customWidth="1"/>
    <col min="3610" max="3610" width="2.125" style="1" customWidth="1"/>
    <col min="3611" max="3611" width="5" style="1" customWidth="1"/>
    <col min="3612" max="3612" width="6" style="1" customWidth="1"/>
    <col min="3613" max="3613" width="2.125" style="1" customWidth="1"/>
    <col min="3614" max="3614" width="5.625" style="1" customWidth="1"/>
    <col min="3615" max="3615" width="2.125" style="1" customWidth="1"/>
    <col min="3616" max="3616" width="5.625" style="1" customWidth="1"/>
    <col min="3617" max="3617" width="3.25" style="1" customWidth="1"/>
    <col min="3618" max="3620" width="3.625" style="1" customWidth="1"/>
    <col min="3621" max="3623" width="6.625" style="1" customWidth="1"/>
    <col min="3624" max="3632" width="5.625" style="1" customWidth="1"/>
    <col min="3633" max="3633" width="1.625" style="1" customWidth="1"/>
    <col min="3634" max="3634" width="4.625" style="1" customWidth="1"/>
    <col min="3635" max="3642" width="5.625" style="1" customWidth="1"/>
    <col min="3643" max="3643" width="4.125" style="1" customWidth="1"/>
    <col min="3644" max="3648" width="3.625" style="1" customWidth="1"/>
    <col min="3649" max="3649" width="2.125" style="1" customWidth="1"/>
    <col min="3650" max="3650" width="5" style="1" customWidth="1"/>
    <col min="3651" max="3651" width="6" style="1" customWidth="1"/>
    <col min="3652" max="3652" width="2.125" style="1" customWidth="1"/>
    <col min="3653" max="3653" width="5.625" style="1" customWidth="1"/>
    <col min="3654" max="3654" width="2.125" style="1" customWidth="1"/>
    <col min="3655" max="3655" width="5.625" style="1" customWidth="1"/>
    <col min="3656" max="3656" width="3.25" style="1" customWidth="1"/>
    <col min="3657" max="3659" width="3.625" style="1" customWidth="1"/>
    <col min="3660" max="3662" width="6.625" style="1" customWidth="1"/>
    <col min="3663" max="3840" width="9" style="1"/>
    <col min="3841" max="3849" width="5.625" style="1" customWidth="1"/>
    <col min="3850" max="3850" width="1.625" style="1" customWidth="1"/>
    <col min="3851" max="3851" width="4.625" style="1" customWidth="1"/>
    <col min="3852" max="3859" width="5.625" style="1" customWidth="1"/>
    <col min="3860" max="3860" width="4.125" style="1" customWidth="1"/>
    <col min="3861" max="3865" width="3.625" style="1" customWidth="1"/>
    <col min="3866" max="3866" width="2.125" style="1" customWidth="1"/>
    <col min="3867" max="3867" width="5" style="1" customWidth="1"/>
    <col min="3868" max="3868" width="6" style="1" customWidth="1"/>
    <col min="3869" max="3869" width="2.125" style="1" customWidth="1"/>
    <col min="3870" max="3870" width="5.625" style="1" customWidth="1"/>
    <col min="3871" max="3871" width="2.125" style="1" customWidth="1"/>
    <col min="3872" max="3872" width="5.625" style="1" customWidth="1"/>
    <col min="3873" max="3873" width="3.25" style="1" customWidth="1"/>
    <col min="3874" max="3876" width="3.625" style="1" customWidth="1"/>
    <col min="3877" max="3879" width="6.625" style="1" customWidth="1"/>
    <col min="3880" max="3888" width="5.625" style="1" customWidth="1"/>
    <col min="3889" max="3889" width="1.625" style="1" customWidth="1"/>
    <col min="3890" max="3890" width="4.625" style="1" customWidth="1"/>
    <col min="3891" max="3898" width="5.625" style="1" customWidth="1"/>
    <col min="3899" max="3899" width="4.125" style="1" customWidth="1"/>
    <col min="3900" max="3904" width="3.625" style="1" customWidth="1"/>
    <col min="3905" max="3905" width="2.125" style="1" customWidth="1"/>
    <col min="3906" max="3906" width="5" style="1" customWidth="1"/>
    <col min="3907" max="3907" width="6" style="1" customWidth="1"/>
    <col min="3908" max="3908" width="2.125" style="1" customWidth="1"/>
    <col min="3909" max="3909" width="5.625" style="1" customWidth="1"/>
    <col min="3910" max="3910" width="2.125" style="1" customWidth="1"/>
    <col min="3911" max="3911" width="5.625" style="1" customWidth="1"/>
    <col min="3912" max="3912" width="3.25" style="1" customWidth="1"/>
    <col min="3913" max="3915" width="3.625" style="1" customWidth="1"/>
    <col min="3916" max="3918" width="6.625" style="1" customWidth="1"/>
    <col min="3919" max="4096" width="9" style="1"/>
    <col min="4097" max="4105" width="5.625" style="1" customWidth="1"/>
    <col min="4106" max="4106" width="1.625" style="1" customWidth="1"/>
    <col min="4107" max="4107" width="4.625" style="1" customWidth="1"/>
    <col min="4108" max="4115" width="5.625" style="1" customWidth="1"/>
    <col min="4116" max="4116" width="4.125" style="1" customWidth="1"/>
    <col min="4117" max="4121" width="3.625" style="1" customWidth="1"/>
    <col min="4122" max="4122" width="2.125" style="1" customWidth="1"/>
    <col min="4123" max="4123" width="5" style="1" customWidth="1"/>
    <col min="4124" max="4124" width="6" style="1" customWidth="1"/>
    <col min="4125" max="4125" width="2.125" style="1" customWidth="1"/>
    <col min="4126" max="4126" width="5.625" style="1" customWidth="1"/>
    <col min="4127" max="4127" width="2.125" style="1" customWidth="1"/>
    <col min="4128" max="4128" width="5.625" style="1" customWidth="1"/>
    <col min="4129" max="4129" width="3.25" style="1" customWidth="1"/>
    <col min="4130" max="4132" width="3.625" style="1" customWidth="1"/>
    <col min="4133" max="4135" width="6.625" style="1" customWidth="1"/>
    <col min="4136" max="4144" width="5.625" style="1" customWidth="1"/>
    <col min="4145" max="4145" width="1.625" style="1" customWidth="1"/>
    <col min="4146" max="4146" width="4.625" style="1" customWidth="1"/>
    <col min="4147" max="4154" width="5.625" style="1" customWidth="1"/>
    <col min="4155" max="4155" width="4.125" style="1" customWidth="1"/>
    <col min="4156" max="4160" width="3.625" style="1" customWidth="1"/>
    <col min="4161" max="4161" width="2.125" style="1" customWidth="1"/>
    <col min="4162" max="4162" width="5" style="1" customWidth="1"/>
    <col min="4163" max="4163" width="6" style="1" customWidth="1"/>
    <col min="4164" max="4164" width="2.125" style="1" customWidth="1"/>
    <col min="4165" max="4165" width="5.625" style="1" customWidth="1"/>
    <col min="4166" max="4166" width="2.125" style="1" customWidth="1"/>
    <col min="4167" max="4167" width="5.625" style="1" customWidth="1"/>
    <col min="4168" max="4168" width="3.25" style="1" customWidth="1"/>
    <col min="4169" max="4171" width="3.625" style="1" customWidth="1"/>
    <col min="4172" max="4174" width="6.625" style="1" customWidth="1"/>
    <col min="4175" max="4352" width="9" style="1"/>
    <col min="4353" max="4361" width="5.625" style="1" customWidth="1"/>
    <col min="4362" max="4362" width="1.625" style="1" customWidth="1"/>
    <col min="4363" max="4363" width="4.625" style="1" customWidth="1"/>
    <col min="4364" max="4371" width="5.625" style="1" customWidth="1"/>
    <col min="4372" max="4372" width="4.125" style="1" customWidth="1"/>
    <col min="4373" max="4377" width="3.625" style="1" customWidth="1"/>
    <col min="4378" max="4378" width="2.125" style="1" customWidth="1"/>
    <col min="4379" max="4379" width="5" style="1" customWidth="1"/>
    <col min="4380" max="4380" width="6" style="1" customWidth="1"/>
    <col min="4381" max="4381" width="2.125" style="1" customWidth="1"/>
    <col min="4382" max="4382" width="5.625" style="1" customWidth="1"/>
    <col min="4383" max="4383" width="2.125" style="1" customWidth="1"/>
    <col min="4384" max="4384" width="5.625" style="1" customWidth="1"/>
    <col min="4385" max="4385" width="3.25" style="1" customWidth="1"/>
    <col min="4386" max="4388" width="3.625" style="1" customWidth="1"/>
    <col min="4389" max="4391" width="6.625" style="1" customWidth="1"/>
    <col min="4392" max="4400" width="5.625" style="1" customWidth="1"/>
    <col min="4401" max="4401" width="1.625" style="1" customWidth="1"/>
    <col min="4402" max="4402" width="4.625" style="1" customWidth="1"/>
    <col min="4403" max="4410" width="5.625" style="1" customWidth="1"/>
    <col min="4411" max="4411" width="4.125" style="1" customWidth="1"/>
    <col min="4412" max="4416" width="3.625" style="1" customWidth="1"/>
    <col min="4417" max="4417" width="2.125" style="1" customWidth="1"/>
    <col min="4418" max="4418" width="5" style="1" customWidth="1"/>
    <col min="4419" max="4419" width="6" style="1" customWidth="1"/>
    <col min="4420" max="4420" width="2.125" style="1" customWidth="1"/>
    <col min="4421" max="4421" width="5.625" style="1" customWidth="1"/>
    <col min="4422" max="4422" width="2.125" style="1" customWidth="1"/>
    <col min="4423" max="4423" width="5.625" style="1" customWidth="1"/>
    <col min="4424" max="4424" width="3.25" style="1" customWidth="1"/>
    <col min="4425" max="4427" width="3.625" style="1" customWidth="1"/>
    <col min="4428" max="4430" width="6.625" style="1" customWidth="1"/>
    <col min="4431" max="4608" width="9" style="1"/>
    <col min="4609" max="4617" width="5.625" style="1" customWidth="1"/>
    <col min="4618" max="4618" width="1.625" style="1" customWidth="1"/>
    <col min="4619" max="4619" width="4.625" style="1" customWidth="1"/>
    <col min="4620" max="4627" width="5.625" style="1" customWidth="1"/>
    <col min="4628" max="4628" width="4.125" style="1" customWidth="1"/>
    <col min="4629" max="4633" width="3.625" style="1" customWidth="1"/>
    <col min="4634" max="4634" width="2.125" style="1" customWidth="1"/>
    <col min="4635" max="4635" width="5" style="1" customWidth="1"/>
    <col min="4636" max="4636" width="6" style="1" customWidth="1"/>
    <col min="4637" max="4637" width="2.125" style="1" customWidth="1"/>
    <col min="4638" max="4638" width="5.625" style="1" customWidth="1"/>
    <col min="4639" max="4639" width="2.125" style="1" customWidth="1"/>
    <col min="4640" max="4640" width="5.625" style="1" customWidth="1"/>
    <col min="4641" max="4641" width="3.25" style="1" customWidth="1"/>
    <col min="4642" max="4644" width="3.625" style="1" customWidth="1"/>
    <col min="4645" max="4647" width="6.625" style="1" customWidth="1"/>
    <col min="4648" max="4656" width="5.625" style="1" customWidth="1"/>
    <col min="4657" max="4657" width="1.625" style="1" customWidth="1"/>
    <col min="4658" max="4658" width="4.625" style="1" customWidth="1"/>
    <col min="4659" max="4666" width="5.625" style="1" customWidth="1"/>
    <col min="4667" max="4667" width="4.125" style="1" customWidth="1"/>
    <col min="4668" max="4672" width="3.625" style="1" customWidth="1"/>
    <col min="4673" max="4673" width="2.125" style="1" customWidth="1"/>
    <col min="4674" max="4674" width="5" style="1" customWidth="1"/>
    <col min="4675" max="4675" width="6" style="1" customWidth="1"/>
    <col min="4676" max="4676" width="2.125" style="1" customWidth="1"/>
    <col min="4677" max="4677" width="5.625" style="1" customWidth="1"/>
    <col min="4678" max="4678" width="2.125" style="1" customWidth="1"/>
    <col min="4679" max="4679" width="5.625" style="1" customWidth="1"/>
    <col min="4680" max="4680" width="3.25" style="1" customWidth="1"/>
    <col min="4681" max="4683" width="3.625" style="1" customWidth="1"/>
    <col min="4684" max="4686" width="6.625" style="1" customWidth="1"/>
    <col min="4687" max="4864" width="9" style="1"/>
    <col min="4865" max="4873" width="5.625" style="1" customWidth="1"/>
    <col min="4874" max="4874" width="1.625" style="1" customWidth="1"/>
    <col min="4875" max="4875" width="4.625" style="1" customWidth="1"/>
    <col min="4876" max="4883" width="5.625" style="1" customWidth="1"/>
    <col min="4884" max="4884" width="4.125" style="1" customWidth="1"/>
    <col min="4885" max="4889" width="3.625" style="1" customWidth="1"/>
    <col min="4890" max="4890" width="2.125" style="1" customWidth="1"/>
    <col min="4891" max="4891" width="5" style="1" customWidth="1"/>
    <col min="4892" max="4892" width="6" style="1" customWidth="1"/>
    <col min="4893" max="4893" width="2.125" style="1" customWidth="1"/>
    <col min="4894" max="4894" width="5.625" style="1" customWidth="1"/>
    <col min="4895" max="4895" width="2.125" style="1" customWidth="1"/>
    <col min="4896" max="4896" width="5.625" style="1" customWidth="1"/>
    <col min="4897" max="4897" width="3.25" style="1" customWidth="1"/>
    <col min="4898" max="4900" width="3.625" style="1" customWidth="1"/>
    <col min="4901" max="4903" width="6.625" style="1" customWidth="1"/>
    <col min="4904" max="4912" width="5.625" style="1" customWidth="1"/>
    <col min="4913" max="4913" width="1.625" style="1" customWidth="1"/>
    <col min="4914" max="4914" width="4.625" style="1" customWidth="1"/>
    <col min="4915" max="4922" width="5.625" style="1" customWidth="1"/>
    <col min="4923" max="4923" width="4.125" style="1" customWidth="1"/>
    <col min="4924" max="4928" width="3.625" style="1" customWidth="1"/>
    <col min="4929" max="4929" width="2.125" style="1" customWidth="1"/>
    <col min="4930" max="4930" width="5" style="1" customWidth="1"/>
    <col min="4931" max="4931" width="6" style="1" customWidth="1"/>
    <col min="4932" max="4932" width="2.125" style="1" customWidth="1"/>
    <col min="4933" max="4933" width="5.625" style="1" customWidth="1"/>
    <col min="4934" max="4934" width="2.125" style="1" customWidth="1"/>
    <col min="4935" max="4935" width="5.625" style="1" customWidth="1"/>
    <col min="4936" max="4936" width="3.25" style="1" customWidth="1"/>
    <col min="4937" max="4939" width="3.625" style="1" customWidth="1"/>
    <col min="4940" max="4942" width="6.625" style="1" customWidth="1"/>
    <col min="4943" max="5120" width="9" style="1"/>
    <col min="5121" max="5129" width="5.625" style="1" customWidth="1"/>
    <col min="5130" max="5130" width="1.625" style="1" customWidth="1"/>
    <col min="5131" max="5131" width="4.625" style="1" customWidth="1"/>
    <col min="5132" max="5139" width="5.625" style="1" customWidth="1"/>
    <col min="5140" max="5140" width="4.125" style="1" customWidth="1"/>
    <col min="5141" max="5145" width="3.625" style="1" customWidth="1"/>
    <col min="5146" max="5146" width="2.125" style="1" customWidth="1"/>
    <col min="5147" max="5147" width="5" style="1" customWidth="1"/>
    <col min="5148" max="5148" width="6" style="1" customWidth="1"/>
    <col min="5149" max="5149" width="2.125" style="1" customWidth="1"/>
    <col min="5150" max="5150" width="5.625" style="1" customWidth="1"/>
    <col min="5151" max="5151" width="2.125" style="1" customWidth="1"/>
    <col min="5152" max="5152" width="5.625" style="1" customWidth="1"/>
    <col min="5153" max="5153" width="3.25" style="1" customWidth="1"/>
    <col min="5154" max="5156" width="3.625" style="1" customWidth="1"/>
    <col min="5157" max="5159" width="6.625" style="1" customWidth="1"/>
    <col min="5160" max="5168" width="5.625" style="1" customWidth="1"/>
    <col min="5169" max="5169" width="1.625" style="1" customWidth="1"/>
    <col min="5170" max="5170" width="4.625" style="1" customWidth="1"/>
    <col min="5171" max="5178" width="5.625" style="1" customWidth="1"/>
    <col min="5179" max="5179" width="4.125" style="1" customWidth="1"/>
    <col min="5180" max="5184" width="3.625" style="1" customWidth="1"/>
    <col min="5185" max="5185" width="2.125" style="1" customWidth="1"/>
    <col min="5186" max="5186" width="5" style="1" customWidth="1"/>
    <col min="5187" max="5187" width="6" style="1" customWidth="1"/>
    <col min="5188" max="5188" width="2.125" style="1" customWidth="1"/>
    <col min="5189" max="5189" width="5.625" style="1" customWidth="1"/>
    <col min="5190" max="5190" width="2.125" style="1" customWidth="1"/>
    <col min="5191" max="5191" width="5.625" style="1" customWidth="1"/>
    <col min="5192" max="5192" width="3.25" style="1" customWidth="1"/>
    <col min="5193" max="5195" width="3.625" style="1" customWidth="1"/>
    <col min="5196" max="5198" width="6.625" style="1" customWidth="1"/>
    <col min="5199" max="5376" width="9" style="1"/>
    <col min="5377" max="5385" width="5.625" style="1" customWidth="1"/>
    <col min="5386" max="5386" width="1.625" style="1" customWidth="1"/>
    <col min="5387" max="5387" width="4.625" style="1" customWidth="1"/>
    <col min="5388" max="5395" width="5.625" style="1" customWidth="1"/>
    <col min="5396" max="5396" width="4.125" style="1" customWidth="1"/>
    <col min="5397" max="5401" width="3.625" style="1" customWidth="1"/>
    <col min="5402" max="5402" width="2.125" style="1" customWidth="1"/>
    <col min="5403" max="5403" width="5" style="1" customWidth="1"/>
    <col min="5404" max="5404" width="6" style="1" customWidth="1"/>
    <col min="5405" max="5405" width="2.125" style="1" customWidth="1"/>
    <col min="5406" max="5406" width="5.625" style="1" customWidth="1"/>
    <col min="5407" max="5407" width="2.125" style="1" customWidth="1"/>
    <col min="5408" max="5408" width="5.625" style="1" customWidth="1"/>
    <col min="5409" max="5409" width="3.25" style="1" customWidth="1"/>
    <col min="5410" max="5412" width="3.625" style="1" customWidth="1"/>
    <col min="5413" max="5415" width="6.625" style="1" customWidth="1"/>
    <col min="5416" max="5424" width="5.625" style="1" customWidth="1"/>
    <col min="5425" max="5425" width="1.625" style="1" customWidth="1"/>
    <col min="5426" max="5426" width="4.625" style="1" customWidth="1"/>
    <col min="5427" max="5434" width="5.625" style="1" customWidth="1"/>
    <col min="5435" max="5435" width="4.125" style="1" customWidth="1"/>
    <col min="5436" max="5440" width="3.625" style="1" customWidth="1"/>
    <col min="5441" max="5441" width="2.125" style="1" customWidth="1"/>
    <col min="5442" max="5442" width="5" style="1" customWidth="1"/>
    <col min="5443" max="5443" width="6" style="1" customWidth="1"/>
    <col min="5444" max="5444" width="2.125" style="1" customWidth="1"/>
    <col min="5445" max="5445" width="5.625" style="1" customWidth="1"/>
    <col min="5446" max="5446" width="2.125" style="1" customWidth="1"/>
    <col min="5447" max="5447" width="5.625" style="1" customWidth="1"/>
    <col min="5448" max="5448" width="3.25" style="1" customWidth="1"/>
    <col min="5449" max="5451" width="3.625" style="1" customWidth="1"/>
    <col min="5452" max="5454" width="6.625" style="1" customWidth="1"/>
    <col min="5455" max="5632" width="9" style="1"/>
    <col min="5633" max="5641" width="5.625" style="1" customWidth="1"/>
    <col min="5642" max="5642" width="1.625" style="1" customWidth="1"/>
    <col min="5643" max="5643" width="4.625" style="1" customWidth="1"/>
    <col min="5644" max="5651" width="5.625" style="1" customWidth="1"/>
    <col min="5652" max="5652" width="4.125" style="1" customWidth="1"/>
    <col min="5653" max="5657" width="3.625" style="1" customWidth="1"/>
    <col min="5658" max="5658" width="2.125" style="1" customWidth="1"/>
    <col min="5659" max="5659" width="5" style="1" customWidth="1"/>
    <col min="5660" max="5660" width="6" style="1" customWidth="1"/>
    <col min="5661" max="5661" width="2.125" style="1" customWidth="1"/>
    <col min="5662" max="5662" width="5.625" style="1" customWidth="1"/>
    <col min="5663" max="5663" width="2.125" style="1" customWidth="1"/>
    <col min="5664" max="5664" width="5.625" style="1" customWidth="1"/>
    <col min="5665" max="5665" width="3.25" style="1" customWidth="1"/>
    <col min="5666" max="5668" width="3.625" style="1" customWidth="1"/>
    <col min="5669" max="5671" width="6.625" style="1" customWidth="1"/>
    <col min="5672" max="5680" width="5.625" style="1" customWidth="1"/>
    <col min="5681" max="5681" width="1.625" style="1" customWidth="1"/>
    <col min="5682" max="5682" width="4.625" style="1" customWidth="1"/>
    <col min="5683" max="5690" width="5.625" style="1" customWidth="1"/>
    <col min="5691" max="5691" width="4.125" style="1" customWidth="1"/>
    <col min="5692" max="5696" width="3.625" style="1" customWidth="1"/>
    <col min="5697" max="5697" width="2.125" style="1" customWidth="1"/>
    <col min="5698" max="5698" width="5" style="1" customWidth="1"/>
    <col min="5699" max="5699" width="6" style="1" customWidth="1"/>
    <col min="5700" max="5700" width="2.125" style="1" customWidth="1"/>
    <col min="5701" max="5701" width="5.625" style="1" customWidth="1"/>
    <col min="5702" max="5702" width="2.125" style="1" customWidth="1"/>
    <col min="5703" max="5703" width="5.625" style="1" customWidth="1"/>
    <col min="5704" max="5704" width="3.25" style="1" customWidth="1"/>
    <col min="5705" max="5707" width="3.625" style="1" customWidth="1"/>
    <col min="5708" max="5710" width="6.625" style="1" customWidth="1"/>
    <col min="5711" max="5888" width="9" style="1"/>
    <col min="5889" max="5897" width="5.625" style="1" customWidth="1"/>
    <col min="5898" max="5898" width="1.625" style="1" customWidth="1"/>
    <col min="5899" max="5899" width="4.625" style="1" customWidth="1"/>
    <col min="5900" max="5907" width="5.625" style="1" customWidth="1"/>
    <col min="5908" max="5908" width="4.125" style="1" customWidth="1"/>
    <col min="5909" max="5913" width="3.625" style="1" customWidth="1"/>
    <col min="5914" max="5914" width="2.125" style="1" customWidth="1"/>
    <col min="5915" max="5915" width="5" style="1" customWidth="1"/>
    <col min="5916" max="5916" width="6" style="1" customWidth="1"/>
    <col min="5917" max="5917" width="2.125" style="1" customWidth="1"/>
    <col min="5918" max="5918" width="5.625" style="1" customWidth="1"/>
    <col min="5919" max="5919" width="2.125" style="1" customWidth="1"/>
    <col min="5920" max="5920" width="5.625" style="1" customWidth="1"/>
    <col min="5921" max="5921" width="3.25" style="1" customWidth="1"/>
    <col min="5922" max="5924" width="3.625" style="1" customWidth="1"/>
    <col min="5925" max="5927" width="6.625" style="1" customWidth="1"/>
    <col min="5928" max="5936" width="5.625" style="1" customWidth="1"/>
    <col min="5937" max="5937" width="1.625" style="1" customWidth="1"/>
    <col min="5938" max="5938" width="4.625" style="1" customWidth="1"/>
    <col min="5939" max="5946" width="5.625" style="1" customWidth="1"/>
    <col min="5947" max="5947" width="4.125" style="1" customWidth="1"/>
    <col min="5948" max="5952" width="3.625" style="1" customWidth="1"/>
    <col min="5953" max="5953" width="2.125" style="1" customWidth="1"/>
    <col min="5954" max="5954" width="5" style="1" customWidth="1"/>
    <col min="5955" max="5955" width="6" style="1" customWidth="1"/>
    <col min="5956" max="5956" width="2.125" style="1" customWidth="1"/>
    <col min="5957" max="5957" width="5.625" style="1" customWidth="1"/>
    <col min="5958" max="5958" width="2.125" style="1" customWidth="1"/>
    <col min="5959" max="5959" width="5.625" style="1" customWidth="1"/>
    <col min="5960" max="5960" width="3.25" style="1" customWidth="1"/>
    <col min="5961" max="5963" width="3.625" style="1" customWidth="1"/>
    <col min="5964" max="5966" width="6.625" style="1" customWidth="1"/>
    <col min="5967" max="6144" width="9" style="1"/>
    <col min="6145" max="6153" width="5.625" style="1" customWidth="1"/>
    <col min="6154" max="6154" width="1.625" style="1" customWidth="1"/>
    <col min="6155" max="6155" width="4.625" style="1" customWidth="1"/>
    <col min="6156" max="6163" width="5.625" style="1" customWidth="1"/>
    <col min="6164" max="6164" width="4.125" style="1" customWidth="1"/>
    <col min="6165" max="6169" width="3.625" style="1" customWidth="1"/>
    <col min="6170" max="6170" width="2.125" style="1" customWidth="1"/>
    <col min="6171" max="6171" width="5" style="1" customWidth="1"/>
    <col min="6172" max="6172" width="6" style="1" customWidth="1"/>
    <col min="6173" max="6173" width="2.125" style="1" customWidth="1"/>
    <col min="6174" max="6174" width="5.625" style="1" customWidth="1"/>
    <col min="6175" max="6175" width="2.125" style="1" customWidth="1"/>
    <col min="6176" max="6176" width="5.625" style="1" customWidth="1"/>
    <col min="6177" max="6177" width="3.25" style="1" customWidth="1"/>
    <col min="6178" max="6180" width="3.625" style="1" customWidth="1"/>
    <col min="6181" max="6183" width="6.625" style="1" customWidth="1"/>
    <col min="6184" max="6192" width="5.625" style="1" customWidth="1"/>
    <col min="6193" max="6193" width="1.625" style="1" customWidth="1"/>
    <col min="6194" max="6194" width="4.625" style="1" customWidth="1"/>
    <col min="6195" max="6202" width="5.625" style="1" customWidth="1"/>
    <col min="6203" max="6203" width="4.125" style="1" customWidth="1"/>
    <col min="6204" max="6208" width="3.625" style="1" customWidth="1"/>
    <col min="6209" max="6209" width="2.125" style="1" customWidth="1"/>
    <col min="6210" max="6210" width="5" style="1" customWidth="1"/>
    <col min="6211" max="6211" width="6" style="1" customWidth="1"/>
    <col min="6212" max="6212" width="2.125" style="1" customWidth="1"/>
    <col min="6213" max="6213" width="5.625" style="1" customWidth="1"/>
    <col min="6214" max="6214" width="2.125" style="1" customWidth="1"/>
    <col min="6215" max="6215" width="5.625" style="1" customWidth="1"/>
    <col min="6216" max="6216" width="3.25" style="1" customWidth="1"/>
    <col min="6217" max="6219" width="3.625" style="1" customWidth="1"/>
    <col min="6220" max="6222" width="6.625" style="1" customWidth="1"/>
    <col min="6223" max="6400" width="9" style="1"/>
    <col min="6401" max="6409" width="5.625" style="1" customWidth="1"/>
    <col min="6410" max="6410" width="1.625" style="1" customWidth="1"/>
    <col min="6411" max="6411" width="4.625" style="1" customWidth="1"/>
    <col min="6412" max="6419" width="5.625" style="1" customWidth="1"/>
    <col min="6420" max="6420" width="4.125" style="1" customWidth="1"/>
    <col min="6421" max="6425" width="3.625" style="1" customWidth="1"/>
    <col min="6426" max="6426" width="2.125" style="1" customWidth="1"/>
    <col min="6427" max="6427" width="5" style="1" customWidth="1"/>
    <col min="6428" max="6428" width="6" style="1" customWidth="1"/>
    <col min="6429" max="6429" width="2.125" style="1" customWidth="1"/>
    <col min="6430" max="6430" width="5.625" style="1" customWidth="1"/>
    <col min="6431" max="6431" width="2.125" style="1" customWidth="1"/>
    <col min="6432" max="6432" width="5.625" style="1" customWidth="1"/>
    <col min="6433" max="6433" width="3.25" style="1" customWidth="1"/>
    <col min="6434" max="6436" width="3.625" style="1" customWidth="1"/>
    <col min="6437" max="6439" width="6.625" style="1" customWidth="1"/>
    <col min="6440" max="6448" width="5.625" style="1" customWidth="1"/>
    <col min="6449" max="6449" width="1.625" style="1" customWidth="1"/>
    <col min="6450" max="6450" width="4.625" style="1" customWidth="1"/>
    <col min="6451" max="6458" width="5.625" style="1" customWidth="1"/>
    <col min="6459" max="6459" width="4.125" style="1" customWidth="1"/>
    <col min="6460" max="6464" width="3.625" style="1" customWidth="1"/>
    <col min="6465" max="6465" width="2.125" style="1" customWidth="1"/>
    <col min="6466" max="6466" width="5" style="1" customWidth="1"/>
    <col min="6467" max="6467" width="6" style="1" customWidth="1"/>
    <col min="6468" max="6468" width="2.125" style="1" customWidth="1"/>
    <col min="6469" max="6469" width="5.625" style="1" customWidth="1"/>
    <col min="6470" max="6470" width="2.125" style="1" customWidth="1"/>
    <col min="6471" max="6471" width="5.625" style="1" customWidth="1"/>
    <col min="6472" max="6472" width="3.25" style="1" customWidth="1"/>
    <col min="6473" max="6475" width="3.625" style="1" customWidth="1"/>
    <col min="6476" max="6478" width="6.625" style="1" customWidth="1"/>
    <col min="6479" max="6656" width="9" style="1"/>
    <col min="6657" max="6665" width="5.625" style="1" customWidth="1"/>
    <col min="6666" max="6666" width="1.625" style="1" customWidth="1"/>
    <col min="6667" max="6667" width="4.625" style="1" customWidth="1"/>
    <col min="6668" max="6675" width="5.625" style="1" customWidth="1"/>
    <col min="6676" max="6676" width="4.125" style="1" customWidth="1"/>
    <col min="6677" max="6681" width="3.625" style="1" customWidth="1"/>
    <col min="6682" max="6682" width="2.125" style="1" customWidth="1"/>
    <col min="6683" max="6683" width="5" style="1" customWidth="1"/>
    <col min="6684" max="6684" width="6" style="1" customWidth="1"/>
    <col min="6685" max="6685" width="2.125" style="1" customWidth="1"/>
    <col min="6686" max="6686" width="5.625" style="1" customWidth="1"/>
    <col min="6687" max="6687" width="2.125" style="1" customWidth="1"/>
    <col min="6688" max="6688" width="5.625" style="1" customWidth="1"/>
    <col min="6689" max="6689" width="3.25" style="1" customWidth="1"/>
    <col min="6690" max="6692" width="3.625" style="1" customWidth="1"/>
    <col min="6693" max="6695" width="6.625" style="1" customWidth="1"/>
    <col min="6696" max="6704" width="5.625" style="1" customWidth="1"/>
    <col min="6705" max="6705" width="1.625" style="1" customWidth="1"/>
    <col min="6706" max="6706" width="4.625" style="1" customWidth="1"/>
    <col min="6707" max="6714" width="5.625" style="1" customWidth="1"/>
    <col min="6715" max="6715" width="4.125" style="1" customWidth="1"/>
    <col min="6716" max="6720" width="3.625" style="1" customWidth="1"/>
    <col min="6721" max="6721" width="2.125" style="1" customWidth="1"/>
    <col min="6722" max="6722" width="5" style="1" customWidth="1"/>
    <col min="6723" max="6723" width="6" style="1" customWidth="1"/>
    <col min="6724" max="6724" width="2.125" style="1" customWidth="1"/>
    <col min="6725" max="6725" width="5.625" style="1" customWidth="1"/>
    <col min="6726" max="6726" width="2.125" style="1" customWidth="1"/>
    <col min="6727" max="6727" width="5.625" style="1" customWidth="1"/>
    <col min="6728" max="6728" width="3.25" style="1" customWidth="1"/>
    <col min="6729" max="6731" width="3.625" style="1" customWidth="1"/>
    <col min="6732" max="6734" width="6.625" style="1" customWidth="1"/>
    <col min="6735" max="6912" width="9" style="1"/>
    <col min="6913" max="6921" width="5.625" style="1" customWidth="1"/>
    <col min="6922" max="6922" width="1.625" style="1" customWidth="1"/>
    <col min="6923" max="6923" width="4.625" style="1" customWidth="1"/>
    <col min="6924" max="6931" width="5.625" style="1" customWidth="1"/>
    <col min="6932" max="6932" width="4.125" style="1" customWidth="1"/>
    <col min="6933" max="6937" width="3.625" style="1" customWidth="1"/>
    <col min="6938" max="6938" width="2.125" style="1" customWidth="1"/>
    <col min="6939" max="6939" width="5" style="1" customWidth="1"/>
    <col min="6940" max="6940" width="6" style="1" customWidth="1"/>
    <col min="6941" max="6941" width="2.125" style="1" customWidth="1"/>
    <col min="6942" max="6942" width="5.625" style="1" customWidth="1"/>
    <col min="6943" max="6943" width="2.125" style="1" customWidth="1"/>
    <col min="6944" max="6944" width="5.625" style="1" customWidth="1"/>
    <col min="6945" max="6945" width="3.25" style="1" customWidth="1"/>
    <col min="6946" max="6948" width="3.625" style="1" customWidth="1"/>
    <col min="6949" max="6951" width="6.625" style="1" customWidth="1"/>
    <col min="6952" max="6960" width="5.625" style="1" customWidth="1"/>
    <col min="6961" max="6961" width="1.625" style="1" customWidth="1"/>
    <col min="6962" max="6962" width="4.625" style="1" customWidth="1"/>
    <col min="6963" max="6970" width="5.625" style="1" customWidth="1"/>
    <col min="6971" max="6971" width="4.125" style="1" customWidth="1"/>
    <col min="6972" max="6976" width="3.625" style="1" customWidth="1"/>
    <col min="6977" max="6977" width="2.125" style="1" customWidth="1"/>
    <col min="6978" max="6978" width="5" style="1" customWidth="1"/>
    <col min="6979" max="6979" width="6" style="1" customWidth="1"/>
    <col min="6980" max="6980" width="2.125" style="1" customWidth="1"/>
    <col min="6981" max="6981" width="5.625" style="1" customWidth="1"/>
    <col min="6982" max="6982" width="2.125" style="1" customWidth="1"/>
    <col min="6983" max="6983" width="5.625" style="1" customWidth="1"/>
    <col min="6984" max="6984" width="3.25" style="1" customWidth="1"/>
    <col min="6985" max="6987" width="3.625" style="1" customWidth="1"/>
    <col min="6988" max="6990" width="6.625" style="1" customWidth="1"/>
    <col min="6991" max="7168" width="9" style="1"/>
    <col min="7169" max="7177" width="5.625" style="1" customWidth="1"/>
    <col min="7178" max="7178" width="1.625" style="1" customWidth="1"/>
    <col min="7179" max="7179" width="4.625" style="1" customWidth="1"/>
    <col min="7180" max="7187" width="5.625" style="1" customWidth="1"/>
    <col min="7188" max="7188" width="4.125" style="1" customWidth="1"/>
    <col min="7189" max="7193" width="3.625" style="1" customWidth="1"/>
    <col min="7194" max="7194" width="2.125" style="1" customWidth="1"/>
    <col min="7195" max="7195" width="5" style="1" customWidth="1"/>
    <col min="7196" max="7196" width="6" style="1" customWidth="1"/>
    <col min="7197" max="7197" width="2.125" style="1" customWidth="1"/>
    <col min="7198" max="7198" width="5.625" style="1" customWidth="1"/>
    <col min="7199" max="7199" width="2.125" style="1" customWidth="1"/>
    <col min="7200" max="7200" width="5.625" style="1" customWidth="1"/>
    <col min="7201" max="7201" width="3.25" style="1" customWidth="1"/>
    <col min="7202" max="7204" width="3.625" style="1" customWidth="1"/>
    <col min="7205" max="7207" width="6.625" style="1" customWidth="1"/>
    <col min="7208" max="7216" width="5.625" style="1" customWidth="1"/>
    <col min="7217" max="7217" width="1.625" style="1" customWidth="1"/>
    <col min="7218" max="7218" width="4.625" style="1" customWidth="1"/>
    <col min="7219" max="7226" width="5.625" style="1" customWidth="1"/>
    <col min="7227" max="7227" width="4.125" style="1" customWidth="1"/>
    <col min="7228" max="7232" width="3.625" style="1" customWidth="1"/>
    <col min="7233" max="7233" width="2.125" style="1" customWidth="1"/>
    <col min="7234" max="7234" width="5" style="1" customWidth="1"/>
    <col min="7235" max="7235" width="6" style="1" customWidth="1"/>
    <col min="7236" max="7236" width="2.125" style="1" customWidth="1"/>
    <col min="7237" max="7237" width="5.625" style="1" customWidth="1"/>
    <col min="7238" max="7238" width="2.125" style="1" customWidth="1"/>
    <col min="7239" max="7239" width="5.625" style="1" customWidth="1"/>
    <col min="7240" max="7240" width="3.25" style="1" customWidth="1"/>
    <col min="7241" max="7243" width="3.625" style="1" customWidth="1"/>
    <col min="7244" max="7246" width="6.625" style="1" customWidth="1"/>
    <col min="7247" max="7424" width="9" style="1"/>
    <col min="7425" max="7433" width="5.625" style="1" customWidth="1"/>
    <col min="7434" max="7434" width="1.625" style="1" customWidth="1"/>
    <col min="7435" max="7435" width="4.625" style="1" customWidth="1"/>
    <col min="7436" max="7443" width="5.625" style="1" customWidth="1"/>
    <col min="7444" max="7444" width="4.125" style="1" customWidth="1"/>
    <col min="7445" max="7449" width="3.625" style="1" customWidth="1"/>
    <col min="7450" max="7450" width="2.125" style="1" customWidth="1"/>
    <col min="7451" max="7451" width="5" style="1" customWidth="1"/>
    <col min="7452" max="7452" width="6" style="1" customWidth="1"/>
    <col min="7453" max="7453" width="2.125" style="1" customWidth="1"/>
    <col min="7454" max="7454" width="5.625" style="1" customWidth="1"/>
    <col min="7455" max="7455" width="2.125" style="1" customWidth="1"/>
    <col min="7456" max="7456" width="5.625" style="1" customWidth="1"/>
    <col min="7457" max="7457" width="3.25" style="1" customWidth="1"/>
    <col min="7458" max="7460" width="3.625" style="1" customWidth="1"/>
    <col min="7461" max="7463" width="6.625" style="1" customWidth="1"/>
    <col min="7464" max="7472" width="5.625" style="1" customWidth="1"/>
    <col min="7473" max="7473" width="1.625" style="1" customWidth="1"/>
    <col min="7474" max="7474" width="4.625" style="1" customWidth="1"/>
    <col min="7475" max="7482" width="5.625" style="1" customWidth="1"/>
    <col min="7483" max="7483" width="4.125" style="1" customWidth="1"/>
    <col min="7484" max="7488" width="3.625" style="1" customWidth="1"/>
    <col min="7489" max="7489" width="2.125" style="1" customWidth="1"/>
    <col min="7490" max="7490" width="5" style="1" customWidth="1"/>
    <col min="7491" max="7491" width="6" style="1" customWidth="1"/>
    <col min="7492" max="7492" width="2.125" style="1" customWidth="1"/>
    <col min="7493" max="7493" width="5.625" style="1" customWidth="1"/>
    <col min="7494" max="7494" width="2.125" style="1" customWidth="1"/>
    <col min="7495" max="7495" width="5.625" style="1" customWidth="1"/>
    <col min="7496" max="7496" width="3.25" style="1" customWidth="1"/>
    <col min="7497" max="7499" width="3.625" style="1" customWidth="1"/>
    <col min="7500" max="7502" width="6.625" style="1" customWidth="1"/>
    <col min="7503" max="7680" width="9" style="1"/>
    <col min="7681" max="7689" width="5.625" style="1" customWidth="1"/>
    <col min="7690" max="7690" width="1.625" style="1" customWidth="1"/>
    <col min="7691" max="7691" width="4.625" style="1" customWidth="1"/>
    <col min="7692" max="7699" width="5.625" style="1" customWidth="1"/>
    <col min="7700" max="7700" width="4.125" style="1" customWidth="1"/>
    <col min="7701" max="7705" width="3.625" style="1" customWidth="1"/>
    <col min="7706" max="7706" width="2.125" style="1" customWidth="1"/>
    <col min="7707" max="7707" width="5" style="1" customWidth="1"/>
    <col min="7708" max="7708" width="6" style="1" customWidth="1"/>
    <col min="7709" max="7709" width="2.125" style="1" customWidth="1"/>
    <col min="7710" max="7710" width="5.625" style="1" customWidth="1"/>
    <col min="7711" max="7711" width="2.125" style="1" customWidth="1"/>
    <col min="7712" max="7712" width="5.625" style="1" customWidth="1"/>
    <col min="7713" max="7713" width="3.25" style="1" customWidth="1"/>
    <col min="7714" max="7716" width="3.625" style="1" customWidth="1"/>
    <col min="7717" max="7719" width="6.625" style="1" customWidth="1"/>
    <col min="7720" max="7728" width="5.625" style="1" customWidth="1"/>
    <col min="7729" max="7729" width="1.625" style="1" customWidth="1"/>
    <col min="7730" max="7730" width="4.625" style="1" customWidth="1"/>
    <col min="7731" max="7738" width="5.625" style="1" customWidth="1"/>
    <col min="7739" max="7739" width="4.125" style="1" customWidth="1"/>
    <col min="7740" max="7744" width="3.625" style="1" customWidth="1"/>
    <col min="7745" max="7745" width="2.125" style="1" customWidth="1"/>
    <col min="7746" max="7746" width="5" style="1" customWidth="1"/>
    <col min="7747" max="7747" width="6" style="1" customWidth="1"/>
    <col min="7748" max="7748" width="2.125" style="1" customWidth="1"/>
    <col min="7749" max="7749" width="5.625" style="1" customWidth="1"/>
    <col min="7750" max="7750" width="2.125" style="1" customWidth="1"/>
    <col min="7751" max="7751" width="5.625" style="1" customWidth="1"/>
    <col min="7752" max="7752" width="3.25" style="1" customWidth="1"/>
    <col min="7753" max="7755" width="3.625" style="1" customWidth="1"/>
    <col min="7756" max="7758" width="6.625" style="1" customWidth="1"/>
    <col min="7759" max="7936" width="9" style="1"/>
    <col min="7937" max="7945" width="5.625" style="1" customWidth="1"/>
    <col min="7946" max="7946" width="1.625" style="1" customWidth="1"/>
    <col min="7947" max="7947" width="4.625" style="1" customWidth="1"/>
    <col min="7948" max="7955" width="5.625" style="1" customWidth="1"/>
    <col min="7956" max="7956" width="4.125" style="1" customWidth="1"/>
    <col min="7957" max="7961" width="3.625" style="1" customWidth="1"/>
    <col min="7962" max="7962" width="2.125" style="1" customWidth="1"/>
    <col min="7963" max="7963" width="5" style="1" customWidth="1"/>
    <col min="7964" max="7964" width="6" style="1" customWidth="1"/>
    <col min="7965" max="7965" width="2.125" style="1" customWidth="1"/>
    <col min="7966" max="7966" width="5.625" style="1" customWidth="1"/>
    <col min="7967" max="7967" width="2.125" style="1" customWidth="1"/>
    <col min="7968" max="7968" width="5.625" style="1" customWidth="1"/>
    <col min="7969" max="7969" width="3.25" style="1" customWidth="1"/>
    <col min="7970" max="7972" width="3.625" style="1" customWidth="1"/>
    <col min="7973" max="7975" width="6.625" style="1" customWidth="1"/>
    <col min="7976" max="7984" width="5.625" style="1" customWidth="1"/>
    <col min="7985" max="7985" width="1.625" style="1" customWidth="1"/>
    <col min="7986" max="7986" width="4.625" style="1" customWidth="1"/>
    <col min="7987" max="7994" width="5.625" style="1" customWidth="1"/>
    <col min="7995" max="7995" width="4.125" style="1" customWidth="1"/>
    <col min="7996" max="8000" width="3.625" style="1" customWidth="1"/>
    <col min="8001" max="8001" width="2.125" style="1" customWidth="1"/>
    <col min="8002" max="8002" width="5" style="1" customWidth="1"/>
    <col min="8003" max="8003" width="6" style="1" customWidth="1"/>
    <col min="8004" max="8004" width="2.125" style="1" customWidth="1"/>
    <col min="8005" max="8005" width="5.625" style="1" customWidth="1"/>
    <col min="8006" max="8006" width="2.125" style="1" customWidth="1"/>
    <col min="8007" max="8007" width="5.625" style="1" customWidth="1"/>
    <col min="8008" max="8008" width="3.25" style="1" customWidth="1"/>
    <col min="8009" max="8011" width="3.625" style="1" customWidth="1"/>
    <col min="8012" max="8014" width="6.625" style="1" customWidth="1"/>
    <col min="8015" max="8192" width="9" style="1"/>
    <col min="8193" max="8201" width="5.625" style="1" customWidth="1"/>
    <col min="8202" max="8202" width="1.625" style="1" customWidth="1"/>
    <col min="8203" max="8203" width="4.625" style="1" customWidth="1"/>
    <col min="8204" max="8211" width="5.625" style="1" customWidth="1"/>
    <col min="8212" max="8212" width="4.125" style="1" customWidth="1"/>
    <col min="8213" max="8217" width="3.625" style="1" customWidth="1"/>
    <col min="8218" max="8218" width="2.125" style="1" customWidth="1"/>
    <col min="8219" max="8219" width="5" style="1" customWidth="1"/>
    <col min="8220" max="8220" width="6" style="1" customWidth="1"/>
    <col min="8221" max="8221" width="2.125" style="1" customWidth="1"/>
    <col min="8222" max="8222" width="5.625" style="1" customWidth="1"/>
    <col min="8223" max="8223" width="2.125" style="1" customWidth="1"/>
    <col min="8224" max="8224" width="5.625" style="1" customWidth="1"/>
    <col min="8225" max="8225" width="3.25" style="1" customWidth="1"/>
    <col min="8226" max="8228" width="3.625" style="1" customWidth="1"/>
    <col min="8229" max="8231" width="6.625" style="1" customWidth="1"/>
    <col min="8232" max="8240" width="5.625" style="1" customWidth="1"/>
    <col min="8241" max="8241" width="1.625" style="1" customWidth="1"/>
    <col min="8242" max="8242" width="4.625" style="1" customWidth="1"/>
    <col min="8243" max="8250" width="5.625" style="1" customWidth="1"/>
    <col min="8251" max="8251" width="4.125" style="1" customWidth="1"/>
    <col min="8252" max="8256" width="3.625" style="1" customWidth="1"/>
    <col min="8257" max="8257" width="2.125" style="1" customWidth="1"/>
    <col min="8258" max="8258" width="5" style="1" customWidth="1"/>
    <col min="8259" max="8259" width="6" style="1" customWidth="1"/>
    <col min="8260" max="8260" width="2.125" style="1" customWidth="1"/>
    <col min="8261" max="8261" width="5.625" style="1" customWidth="1"/>
    <col min="8262" max="8262" width="2.125" style="1" customWidth="1"/>
    <col min="8263" max="8263" width="5.625" style="1" customWidth="1"/>
    <col min="8264" max="8264" width="3.25" style="1" customWidth="1"/>
    <col min="8265" max="8267" width="3.625" style="1" customWidth="1"/>
    <col min="8268" max="8270" width="6.625" style="1" customWidth="1"/>
    <col min="8271" max="8448" width="9" style="1"/>
    <col min="8449" max="8457" width="5.625" style="1" customWidth="1"/>
    <col min="8458" max="8458" width="1.625" style="1" customWidth="1"/>
    <col min="8459" max="8459" width="4.625" style="1" customWidth="1"/>
    <col min="8460" max="8467" width="5.625" style="1" customWidth="1"/>
    <col min="8468" max="8468" width="4.125" style="1" customWidth="1"/>
    <col min="8469" max="8473" width="3.625" style="1" customWidth="1"/>
    <col min="8474" max="8474" width="2.125" style="1" customWidth="1"/>
    <col min="8475" max="8475" width="5" style="1" customWidth="1"/>
    <col min="8476" max="8476" width="6" style="1" customWidth="1"/>
    <col min="8477" max="8477" width="2.125" style="1" customWidth="1"/>
    <col min="8478" max="8478" width="5.625" style="1" customWidth="1"/>
    <col min="8479" max="8479" width="2.125" style="1" customWidth="1"/>
    <col min="8480" max="8480" width="5.625" style="1" customWidth="1"/>
    <col min="8481" max="8481" width="3.25" style="1" customWidth="1"/>
    <col min="8482" max="8484" width="3.625" style="1" customWidth="1"/>
    <col min="8485" max="8487" width="6.625" style="1" customWidth="1"/>
    <col min="8488" max="8496" width="5.625" style="1" customWidth="1"/>
    <col min="8497" max="8497" width="1.625" style="1" customWidth="1"/>
    <col min="8498" max="8498" width="4.625" style="1" customWidth="1"/>
    <col min="8499" max="8506" width="5.625" style="1" customWidth="1"/>
    <col min="8507" max="8507" width="4.125" style="1" customWidth="1"/>
    <col min="8508" max="8512" width="3.625" style="1" customWidth="1"/>
    <col min="8513" max="8513" width="2.125" style="1" customWidth="1"/>
    <col min="8514" max="8514" width="5" style="1" customWidth="1"/>
    <col min="8515" max="8515" width="6" style="1" customWidth="1"/>
    <col min="8516" max="8516" width="2.125" style="1" customWidth="1"/>
    <col min="8517" max="8517" width="5.625" style="1" customWidth="1"/>
    <col min="8518" max="8518" width="2.125" style="1" customWidth="1"/>
    <col min="8519" max="8519" width="5.625" style="1" customWidth="1"/>
    <col min="8520" max="8520" width="3.25" style="1" customWidth="1"/>
    <col min="8521" max="8523" width="3.625" style="1" customWidth="1"/>
    <col min="8524" max="8526" width="6.625" style="1" customWidth="1"/>
    <col min="8527" max="8704" width="9" style="1"/>
    <col min="8705" max="8713" width="5.625" style="1" customWidth="1"/>
    <col min="8714" max="8714" width="1.625" style="1" customWidth="1"/>
    <col min="8715" max="8715" width="4.625" style="1" customWidth="1"/>
    <col min="8716" max="8723" width="5.625" style="1" customWidth="1"/>
    <col min="8724" max="8724" width="4.125" style="1" customWidth="1"/>
    <col min="8725" max="8729" width="3.625" style="1" customWidth="1"/>
    <col min="8730" max="8730" width="2.125" style="1" customWidth="1"/>
    <col min="8731" max="8731" width="5" style="1" customWidth="1"/>
    <col min="8732" max="8732" width="6" style="1" customWidth="1"/>
    <col min="8733" max="8733" width="2.125" style="1" customWidth="1"/>
    <col min="8734" max="8734" width="5.625" style="1" customWidth="1"/>
    <col min="8735" max="8735" width="2.125" style="1" customWidth="1"/>
    <col min="8736" max="8736" width="5.625" style="1" customWidth="1"/>
    <col min="8737" max="8737" width="3.25" style="1" customWidth="1"/>
    <col min="8738" max="8740" width="3.625" style="1" customWidth="1"/>
    <col min="8741" max="8743" width="6.625" style="1" customWidth="1"/>
    <col min="8744" max="8752" width="5.625" style="1" customWidth="1"/>
    <col min="8753" max="8753" width="1.625" style="1" customWidth="1"/>
    <col min="8754" max="8754" width="4.625" style="1" customWidth="1"/>
    <col min="8755" max="8762" width="5.625" style="1" customWidth="1"/>
    <col min="8763" max="8763" width="4.125" style="1" customWidth="1"/>
    <col min="8764" max="8768" width="3.625" style="1" customWidth="1"/>
    <col min="8769" max="8769" width="2.125" style="1" customWidth="1"/>
    <col min="8770" max="8770" width="5" style="1" customWidth="1"/>
    <col min="8771" max="8771" width="6" style="1" customWidth="1"/>
    <col min="8772" max="8772" width="2.125" style="1" customWidth="1"/>
    <col min="8773" max="8773" width="5.625" style="1" customWidth="1"/>
    <col min="8774" max="8774" width="2.125" style="1" customWidth="1"/>
    <col min="8775" max="8775" width="5.625" style="1" customWidth="1"/>
    <col min="8776" max="8776" width="3.25" style="1" customWidth="1"/>
    <col min="8777" max="8779" width="3.625" style="1" customWidth="1"/>
    <col min="8780" max="8782" width="6.625" style="1" customWidth="1"/>
    <col min="8783" max="8960" width="9" style="1"/>
    <col min="8961" max="8969" width="5.625" style="1" customWidth="1"/>
    <col min="8970" max="8970" width="1.625" style="1" customWidth="1"/>
    <col min="8971" max="8971" width="4.625" style="1" customWidth="1"/>
    <col min="8972" max="8979" width="5.625" style="1" customWidth="1"/>
    <col min="8980" max="8980" width="4.125" style="1" customWidth="1"/>
    <col min="8981" max="8985" width="3.625" style="1" customWidth="1"/>
    <col min="8986" max="8986" width="2.125" style="1" customWidth="1"/>
    <col min="8987" max="8987" width="5" style="1" customWidth="1"/>
    <col min="8988" max="8988" width="6" style="1" customWidth="1"/>
    <col min="8989" max="8989" width="2.125" style="1" customWidth="1"/>
    <col min="8990" max="8990" width="5.625" style="1" customWidth="1"/>
    <col min="8991" max="8991" width="2.125" style="1" customWidth="1"/>
    <col min="8992" max="8992" width="5.625" style="1" customWidth="1"/>
    <col min="8993" max="8993" width="3.25" style="1" customWidth="1"/>
    <col min="8994" max="8996" width="3.625" style="1" customWidth="1"/>
    <col min="8997" max="8999" width="6.625" style="1" customWidth="1"/>
    <col min="9000" max="9008" width="5.625" style="1" customWidth="1"/>
    <col min="9009" max="9009" width="1.625" style="1" customWidth="1"/>
    <col min="9010" max="9010" width="4.625" style="1" customWidth="1"/>
    <col min="9011" max="9018" width="5.625" style="1" customWidth="1"/>
    <col min="9019" max="9019" width="4.125" style="1" customWidth="1"/>
    <col min="9020" max="9024" width="3.625" style="1" customWidth="1"/>
    <col min="9025" max="9025" width="2.125" style="1" customWidth="1"/>
    <col min="9026" max="9026" width="5" style="1" customWidth="1"/>
    <col min="9027" max="9027" width="6" style="1" customWidth="1"/>
    <col min="9028" max="9028" width="2.125" style="1" customWidth="1"/>
    <col min="9029" max="9029" width="5.625" style="1" customWidth="1"/>
    <col min="9030" max="9030" width="2.125" style="1" customWidth="1"/>
    <col min="9031" max="9031" width="5.625" style="1" customWidth="1"/>
    <col min="9032" max="9032" width="3.25" style="1" customWidth="1"/>
    <col min="9033" max="9035" width="3.625" style="1" customWidth="1"/>
    <col min="9036" max="9038" width="6.625" style="1" customWidth="1"/>
    <col min="9039" max="9216" width="9" style="1"/>
    <col min="9217" max="9225" width="5.625" style="1" customWidth="1"/>
    <col min="9226" max="9226" width="1.625" style="1" customWidth="1"/>
    <col min="9227" max="9227" width="4.625" style="1" customWidth="1"/>
    <col min="9228" max="9235" width="5.625" style="1" customWidth="1"/>
    <col min="9236" max="9236" width="4.125" style="1" customWidth="1"/>
    <col min="9237" max="9241" width="3.625" style="1" customWidth="1"/>
    <col min="9242" max="9242" width="2.125" style="1" customWidth="1"/>
    <col min="9243" max="9243" width="5" style="1" customWidth="1"/>
    <col min="9244" max="9244" width="6" style="1" customWidth="1"/>
    <col min="9245" max="9245" width="2.125" style="1" customWidth="1"/>
    <col min="9246" max="9246" width="5.625" style="1" customWidth="1"/>
    <col min="9247" max="9247" width="2.125" style="1" customWidth="1"/>
    <col min="9248" max="9248" width="5.625" style="1" customWidth="1"/>
    <col min="9249" max="9249" width="3.25" style="1" customWidth="1"/>
    <col min="9250" max="9252" width="3.625" style="1" customWidth="1"/>
    <col min="9253" max="9255" width="6.625" style="1" customWidth="1"/>
    <col min="9256" max="9264" width="5.625" style="1" customWidth="1"/>
    <col min="9265" max="9265" width="1.625" style="1" customWidth="1"/>
    <col min="9266" max="9266" width="4.625" style="1" customWidth="1"/>
    <col min="9267" max="9274" width="5.625" style="1" customWidth="1"/>
    <col min="9275" max="9275" width="4.125" style="1" customWidth="1"/>
    <col min="9276" max="9280" width="3.625" style="1" customWidth="1"/>
    <col min="9281" max="9281" width="2.125" style="1" customWidth="1"/>
    <col min="9282" max="9282" width="5" style="1" customWidth="1"/>
    <col min="9283" max="9283" width="6" style="1" customWidth="1"/>
    <col min="9284" max="9284" width="2.125" style="1" customWidth="1"/>
    <col min="9285" max="9285" width="5.625" style="1" customWidth="1"/>
    <col min="9286" max="9286" width="2.125" style="1" customWidth="1"/>
    <col min="9287" max="9287" width="5.625" style="1" customWidth="1"/>
    <col min="9288" max="9288" width="3.25" style="1" customWidth="1"/>
    <col min="9289" max="9291" width="3.625" style="1" customWidth="1"/>
    <col min="9292" max="9294" width="6.625" style="1" customWidth="1"/>
    <col min="9295" max="9472" width="9" style="1"/>
    <col min="9473" max="9481" width="5.625" style="1" customWidth="1"/>
    <col min="9482" max="9482" width="1.625" style="1" customWidth="1"/>
    <col min="9483" max="9483" width="4.625" style="1" customWidth="1"/>
    <col min="9484" max="9491" width="5.625" style="1" customWidth="1"/>
    <col min="9492" max="9492" width="4.125" style="1" customWidth="1"/>
    <col min="9493" max="9497" width="3.625" style="1" customWidth="1"/>
    <col min="9498" max="9498" width="2.125" style="1" customWidth="1"/>
    <col min="9499" max="9499" width="5" style="1" customWidth="1"/>
    <col min="9500" max="9500" width="6" style="1" customWidth="1"/>
    <col min="9501" max="9501" width="2.125" style="1" customWidth="1"/>
    <col min="9502" max="9502" width="5.625" style="1" customWidth="1"/>
    <col min="9503" max="9503" width="2.125" style="1" customWidth="1"/>
    <col min="9504" max="9504" width="5.625" style="1" customWidth="1"/>
    <col min="9505" max="9505" width="3.25" style="1" customWidth="1"/>
    <col min="9506" max="9508" width="3.625" style="1" customWidth="1"/>
    <col min="9509" max="9511" width="6.625" style="1" customWidth="1"/>
    <col min="9512" max="9520" width="5.625" style="1" customWidth="1"/>
    <col min="9521" max="9521" width="1.625" style="1" customWidth="1"/>
    <col min="9522" max="9522" width="4.625" style="1" customWidth="1"/>
    <col min="9523" max="9530" width="5.625" style="1" customWidth="1"/>
    <col min="9531" max="9531" width="4.125" style="1" customWidth="1"/>
    <col min="9532" max="9536" width="3.625" style="1" customWidth="1"/>
    <col min="9537" max="9537" width="2.125" style="1" customWidth="1"/>
    <col min="9538" max="9538" width="5" style="1" customWidth="1"/>
    <col min="9539" max="9539" width="6" style="1" customWidth="1"/>
    <col min="9540" max="9540" width="2.125" style="1" customWidth="1"/>
    <col min="9541" max="9541" width="5.625" style="1" customWidth="1"/>
    <col min="9542" max="9542" width="2.125" style="1" customWidth="1"/>
    <col min="9543" max="9543" width="5.625" style="1" customWidth="1"/>
    <col min="9544" max="9544" width="3.25" style="1" customWidth="1"/>
    <col min="9545" max="9547" width="3.625" style="1" customWidth="1"/>
    <col min="9548" max="9550" width="6.625" style="1" customWidth="1"/>
    <col min="9551" max="9728" width="9" style="1"/>
    <col min="9729" max="9737" width="5.625" style="1" customWidth="1"/>
    <col min="9738" max="9738" width="1.625" style="1" customWidth="1"/>
    <col min="9739" max="9739" width="4.625" style="1" customWidth="1"/>
    <col min="9740" max="9747" width="5.625" style="1" customWidth="1"/>
    <col min="9748" max="9748" width="4.125" style="1" customWidth="1"/>
    <col min="9749" max="9753" width="3.625" style="1" customWidth="1"/>
    <col min="9754" max="9754" width="2.125" style="1" customWidth="1"/>
    <col min="9755" max="9755" width="5" style="1" customWidth="1"/>
    <col min="9756" max="9756" width="6" style="1" customWidth="1"/>
    <col min="9757" max="9757" width="2.125" style="1" customWidth="1"/>
    <col min="9758" max="9758" width="5.625" style="1" customWidth="1"/>
    <col min="9759" max="9759" width="2.125" style="1" customWidth="1"/>
    <col min="9760" max="9760" width="5.625" style="1" customWidth="1"/>
    <col min="9761" max="9761" width="3.25" style="1" customWidth="1"/>
    <col min="9762" max="9764" width="3.625" style="1" customWidth="1"/>
    <col min="9765" max="9767" width="6.625" style="1" customWidth="1"/>
    <col min="9768" max="9776" width="5.625" style="1" customWidth="1"/>
    <col min="9777" max="9777" width="1.625" style="1" customWidth="1"/>
    <col min="9778" max="9778" width="4.625" style="1" customWidth="1"/>
    <col min="9779" max="9786" width="5.625" style="1" customWidth="1"/>
    <col min="9787" max="9787" width="4.125" style="1" customWidth="1"/>
    <col min="9788" max="9792" width="3.625" style="1" customWidth="1"/>
    <col min="9793" max="9793" width="2.125" style="1" customWidth="1"/>
    <col min="9794" max="9794" width="5" style="1" customWidth="1"/>
    <col min="9795" max="9795" width="6" style="1" customWidth="1"/>
    <col min="9796" max="9796" width="2.125" style="1" customWidth="1"/>
    <col min="9797" max="9797" width="5.625" style="1" customWidth="1"/>
    <col min="9798" max="9798" width="2.125" style="1" customWidth="1"/>
    <col min="9799" max="9799" width="5.625" style="1" customWidth="1"/>
    <col min="9800" max="9800" width="3.25" style="1" customWidth="1"/>
    <col min="9801" max="9803" width="3.625" style="1" customWidth="1"/>
    <col min="9804" max="9806" width="6.625" style="1" customWidth="1"/>
    <col min="9807" max="9984" width="9" style="1"/>
    <col min="9985" max="9993" width="5.625" style="1" customWidth="1"/>
    <col min="9994" max="9994" width="1.625" style="1" customWidth="1"/>
    <col min="9995" max="9995" width="4.625" style="1" customWidth="1"/>
    <col min="9996" max="10003" width="5.625" style="1" customWidth="1"/>
    <col min="10004" max="10004" width="4.125" style="1" customWidth="1"/>
    <col min="10005" max="10009" width="3.625" style="1" customWidth="1"/>
    <col min="10010" max="10010" width="2.125" style="1" customWidth="1"/>
    <col min="10011" max="10011" width="5" style="1" customWidth="1"/>
    <col min="10012" max="10012" width="6" style="1" customWidth="1"/>
    <col min="10013" max="10013" width="2.125" style="1" customWidth="1"/>
    <col min="10014" max="10014" width="5.625" style="1" customWidth="1"/>
    <col min="10015" max="10015" width="2.125" style="1" customWidth="1"/>
    <col min="10016" max="10016" width="5.625" style="1" customWidth="1"/>
    <col min="10017" max="10017" width="3.25" style="1" customWidth="1"/>
    <col min="10018" max="10020" width="3.625" style="1" customWidth="1"/>
    <col min="10021" max="10023" width="6.625" style="1" customWidth="1"/>
    <col min="10024" max="10032" width="5.625" style="1" customWidth="1"/>
    <col min="10033" max="10033" width="1.625" style="1" customWidth="1"/>
    <col min="10034" max="10034" width="4.625" style="1" customWidth="1"/>
    <col min="10035" max="10042" width="5.625" style="1" customWidth="1"/>
    <col min="10043" max="10043" width="4.125" style="1" customWidth="1"/>
    <col min="10044" max="10048" width="3.625" style="1" customWidth="1"/>
    <col min="10049" max="10049" width="2.125" style="1" customWidth="1"/>
    <col min="10050" max="10050" width="5" style="1" customWidth="1"/>
    <col min="10051" max="10051" width="6" style="1" customWidth="1"/>
    <col min="10052" max="10052" width="2.125" style="1" customWidth="1"/>
    <col min="10053" max="10053" width="5.625" style="1" customWidth="1"/>
    <col min="10054" max="10054" width="2.125" style="1" customWidth="1"/>
    <col min="10055" max="10055" width="5.625" style="1" customWidth="1"/>
    <col min="10056" max="10056" width="3.25" style="1" customWidth="1"/>
    <col min="10057" max="10059" width="3.625" style="1" customWidth="1"/>
    <col min="10060" max="10062" width="6.625" style="1" customWidth="1"/>
    <col min="10063" max="10240" width="9" style="1"/>
    <col min="10241" max="10249" width="5.625" style="1" customWidth="1"/>
    <col min="10250" max="10250" width="1.625" style="1" customWidth="1"/>
    <col min="10251" max="10251" width="4.625" style="1" customWidth="1"/>
    <col min="10252" max="10259" width="5.625" style="1" customWidth="1"/>
    <col min="10260" max="10260" width="4.125" style="1" customWidth="1"/>
    <col min="10261" max="10265" width="3.625" style="1" customWidth="1"/>
    <col min="10266" max="10266" width="2.125" style="1" customWidth="1"/>
    <col min="10267" max="10267" width="5" style="1" customWidth="1"/>
    <col min="10268" max="10268" width="6" style="1" customWidth="1"/>
    <col min="10269" max="10269" width="2.125" style="1" customWidth="1"/>
    <col min="10270" max="10270" width="5.625" style="1" customWidth="1"/>
    <col min="10271" max="10271" width="2.125" style="1" customWidth="1"/>
    <col min="10272" max="10272" width="5.625" style="1" customWidth="1"/>
    <col min="10273" max="10273" width="3.25" style="1" customWidth="1"/>
    <col min="10274" max="10276" width="3.625" style="1" customWidth="1"/>
    <col min="10277" max="10279" width="6.625" style="1" customWidth="1"/>
    <col min="10280" max="10288" width="5.625" style="1" customWidth="1"/>
    <col min="10289" max="10289" width="1.625" style="1" customWidth="1"/>
    <col min="10290" max="10290" width="4.625" style="1" customWidth="1"/>
    <col min="10291" max="10298" width="5.625" style="1" customWidth="1"/>
    <col min="10299" max="10299" width="4.125" style="1" customWidth="1"/>
    <col min="10300" max="10304" width="3.625" style="1" customWidth="1"/>
    <col min="10305" max="10305" width="2.125" style="1" customWidth="1"/>
    <col min="10306" max="10306" width="5" style="1" customWidth="1"/>
    <col min="10307" max="10307" width="6" style="1" customWidth="1"/>
    <col min="10308" max="10308" width="2.125" style="1" customWidth="1"/>
    <col min="10309" max="10309" width="5.625" style="1" customWidth="1"/>
    <col min="10310" max="10310" width="2.125" style="1" customWidth="1"/>
    <col min="10311" max="10311" width="5.625" style="1" customWidth="1"/>
    <col min="10312" max="10312" width="3.25" style="1" customWidth="1"/>
    <col min="10313" max="10315" width="3.625" style="1" customWidth="1"/>
    <col min="10316" max="10318" width="6.625" style="1" customWidth="1"/>
    <col min="10319" max="10496" width="9" style="1"/>
    <col min="10497" max="10505" width="5.625" style="1" customWidth="1"/>
    <col min="10506" max="10506" width="1.625" style="1" customWidth="1"/>
    <col min="10507" max="10507" width="4.625" style="1" customWidth="1"/>
    <col min="10508" max="10515" width="5.625" style="1" customWidth="1"/>
    <col min="10516" max="10516" width="4.125" style="1" customWidth="1"/>
    <col min="10517" max="10521" width="3.625" style="1" customWidth="1"/>
    <col min="10522" max="10522" width="2.125" style="1" customWidth="1"/>
    <col min="10523" max="10523" width="5" style="1" customWidth="1"/>
    <col min="10524" max="10524" width="6" style="1" customWidth="1"/>
    <col min="10525" max="10525" width="2.125" style="1" customWidth="1"/>
    <col min="10526" max="10526" width="5.625" style="1" customWidth="1"/>
    <col min="10527" max="10527" width="2.125" style="1" customWidth="1"/>
    <col min="10528" max="10528" width="5.625" style="1" customWidth="1"/>
    <col min="10529" max="10529" width="3.25" style="1" customWidth="1"/>
    <col min="10530" max="10532" width="3.625" style="1" customWidth="1"/>
    <col min="10533" max="10535" width="6.625" style="1" customWidth="1"/>
    <col min="10536" max="10544" width="5.625" style="1" customWidth="1"/>
    <col min="10545" max="10545" width="1.625" style="1" customWidth="1"/>
    <col min="10546" max="10546" width="4.625" style="1" customWidth="1"/>
    <col min="10547" max="10554" width="5.625" style="1" customWidth="1"/>
    <col min="10555" max="10555" width="4.125" style="1" customWidth="1"/>
    <col min="10556" max="10560" width="3.625" style="1" customWidth="1"/>
    <col min="10561" max="10561" width="2.125" style="1" customWidth="1"/>
    <col min="10562" max="10562" width="5" style="1" customWidth="1"/>
    <col min="10563" max="10563" width="6" style="1" customWidth="1"/>
    <col min="10564" max="10564" width="2.125" style="1" customWidth="1"/>
    <col min="10565" max="10565" width="5.625" style="1" customWidth="1"/>
    <col min="10566" max="10566" width="2.125" style="1" customWidth="1"/>
    <col min="10567" max="10567" width="5.625" style="1" customWidth="1"/>
    <col min="10568" max="10568" width="3.25" style="1" customWidth="1"/>
    <col min="10569" max="10571" width="3.625" style="1" customWidth="1"/>
    <col min="10572" max="10574" width="6.625" style="1" customWidth="1"/>
    <col min="10575" max="10752" width="9" style="1"/>
    <col min="10753" max="10761" width="5.625" style="1" customWidth="1"/>
    <col min="10762" max="10762" width="1.625" style="1" customWidth="1"/>
    <col min="10763" max="10763" width="4.625" style="1" customWidth="1"/>
    <col min="10764" max="10771" width="5.625" style="1" customWidth="1"/>
    <col min="10772" max="10772" width="4.125" style="1" customWidth="1"/>
    <col min="10773" max="10777" width="3.625" style="1" customWidth="1"/>
    <col min="10778" max="10778" width="2.125" style="1" customWidth="1"/>
    <col min="10779" max="10779" width="5" style="1" customWidth="1"/>
    <col min="10780" max="10780" width="6" style="1" customWidth="1"/>
    <col min="10781" max="10781" width="2.125" style="1" customWidth="1"/>
    <col min="10782" max="10782" width="5.625" style="1" customWidth="1"/>
    <col min="10783" max="10783" width="2.125" style="1" customWidth="1"/>
    <col min="10784" max="10784" width="5.625" style="1" customWidth="1"/>
    <col min="10785" max="10785" width="3.25" style="1" customWidth="1"/>
    <col min="10786" max="10788" width="3.625" style="1" customWidth="1"/>
    <col min="10789" max="10791" width="6.625" style="1" customWidth="1"/>
    <col min="10792" max="10800" width="5.625" style="1" customWidth="1"/>
    <col min="10801" max="10801" width="1.625" style="1" customWidth="1"/>
    <col min="10802" max="10802" width="4.625" style="1" customWidth="1"/>
    <col min="10803" max="10810" width="5.625" style="1" customWidth="1"/>
    <col min="10811" max="10811" width="4.125" style="1" customWidth="1"/>
    <col min="10812" max="10816" width="3.625" style="1" customWidth="1"/>
    <col min="10817" max="10817" width="2.125" style="1" customWidth="1"/>
    <col min="10818" max="10818" width="5" style="1" customWidth="1"/>
    <col min="10819" max="10819" width="6" style="1" customWidth="1"/>
    <col min="10820" max="10820" width="2.125" style="1" customWidth="1"/>
    <col min="10821" max="10821" width="5.625" style="1" customWidth="1"/>
    <col min="10822" max="10822" width="2.125" style="1" customWidth="1"/>
    <col min="10823" max="10823" width="5.625" style="1" customWidth="1"/>
    <col min="10824" max="10824" width="3.25" style="1" customWidth="1"/>
    <col min="10825" max="10827" width="3.625" style="1" customWidth="1"/>
    <col min="10828" max="10830" width="6.625" style="1" customWidth="1"/>
    <col min="10831" max="11008" width="9" style="1"/>
    <col min="11009" max="11017" width="5.625" style="1" customWidth="1"/>
    <col min="11018" max="11018" width="1.625" style="1" customWidth="1"/>
    <col min="11019" max="11019" width="4.625" style="1" customWidth="1"/>
    <col min="11020" max="11027" width="5.625" style="1" customWidth="1"/>
    <col min="11028" max="11028" width="4.125" style="1" customWidth="1"/>
    <col min="11029" max="11033" width="3.625" style="1" customWidth="1"/>
    <col min="11034" max="11034" width="2.125" style="1" customWidth="1"/>
    <col min="11035" max="11035" width="5" style="1" customWidth="1"/>
    <col min="11036" max="11036" width="6" style="1" customWidth="1"/>
    <col min="11037" max="11037" width="2.125" style="1" customWidth="1"/>
    <col min="11038" max="11038" width="5.625" style="1" customWidth="1"/>
    <col min="11039" max="11039" width="2.125" style="1" customWidth="1"/>
    <col min="11040" max="11040" width="5.625" style="1" customWidth="1"/>
    <col min="11041" max="11041" width="3.25" style="1" customWidth="1"/>
    <col min="11042" max="11044" width="3.625" style="1" customWidth="1"/>
    <col min="11045" max="11047" width="6.625" style="1" customWidth="1"/>
    <col min="11048" max="11056" width="5.625" style="1" customWidth="1"/>
    <col min="11057" max="11057" width="1.625" style="1" customWidth="1"/>
    <col min="11058" max="11058" width="4.625" style="1" customWidth="1"/>
    <col min="11059" max="11066" width="5.625" style="1" customWidth="1"/>
    <col min="11067" max="11067" width="4.125" style="1" customWidth="1"/>
    <col min="11068" max="11072" width="3.625" style="1" customWidth="1"/>
    <col min="11073" max="11073" width="2.125" style="1" customWidth="1"/>
    <col min="11074" max="11074" width="5" style="1" customWidth="1"/>
    <col min="11075" max="11075" width="6" style="1" customWidth="1"/>
    <col min="11076" max="11076" width="2.125" style="1" customWidth="1"/>
    <col min="11077" max="11077" width="5.625" style="1" customWidth="1"/>
    <col min="11078" max="11078" width="2.125" style="1" customWidth="1"/>
    <col min="11079" max="11079" width="5.625" style="1" customWidth="1"/>
    <col min="11080" max="11080" width="3.25" style="1" customWidth="1"/>
    <col min="11081" max="11083" width="3.625" style="1" customWidth="1"/>
    <col min="11084" max="11086" width="6.625" style="1" customWidth="1"/>
    <col min="11087" max="11264" width="9" style="1"/>
    <col min="11265" max="11273" width="5.625" style="1" customWidth="1"/>
    <col min="11274" max="11274" width="1.625" style="1" customWidth="1"/>
    <col min="11275" max="11275" width="4.625" style="1" customWidth="1"/>
    <col min="11276" max="11283" width="5.625" style="1" customWidth="1"/>
    <col min="11284" max="11284" width="4.125" style="1" customWidth="1"/>
    <col min="11285" max="11289" width="3.625" style="1" customWidth="1"/>
    <col min="11290" max="11290" width="2.125" style="1" customWidth="1"/>
    <col min="11291" max="11291" width="5" style="1" customWidth="1"/>
    <col min="11292" max="11292" width="6" style="1" customWidth="1"/>
    <col min="11293" max="11293" width="2.125" style="1" customWidth="1"/>
    <col min="11294" max="11294" width="5.625" style="1" customWidth="1"/>
    <col min="11295" max="11295" width="2.125" style="1" customWidth="1"/>
    <col min="11296" max="11296" width="5.625" style="1" customWidth="1"/>
    <col min="11297" max="11297" width="3.25" style="1" customWidth="1"/>
    <col min="11298" max="11300" width="3.625" style="1" customWidth="1"/>
    <col min="11301" max="11303" width="6.625" style="1" customWidth="1"/>
    <col min="11304" max="11312" width="5.625" style="1" customWidth="1"/>
    <col min="11313" max="11313" width="1.625" style="1" customWidth="1"/>
    <col min="11314" max="11314" width="4.625" style="1" customWidth="1"/>
    <col min="11315" max="11322" width="5.625" style="1" customWidth="1"/>
    <col min="11323" max="11323" width="4.125" style="1" customWidth="1"/>
    <col min="11324" max="11328" width="3.625" style="1" customWidth="1"/>
    <col min="11329" max="11329" width="2.125" style="1" customWidth="1"/>
    <col min="11330" max="11330" width="5" style="1" customWidth="1"/>
    <col min="11331" max="11331" width="6" style="1" customWidth="1"/>
    <col min="11332" max="11332" width="2.125" style="1" customWidth="1"/>
    <col min="11333" max="11333" width="5.625" style="1" customWidth="1"/>
    <col min="11334" max="11334" width="2.125" style="1" customWidth="1"/>
    <col min="11335" max="11335" width="5.625" style="1" customWidth="1"/>
    <col min="11336" max="11336" width="3.25" style="1" customWidth="1"/>
    <col min="11337" max="11339" width="3.625" style="1" customWidth="1"/>
    <col min="11340" max="11342" width="6.625" style="1" customWidth="1"/>
    <col min="11343" max="11520" width="9" style="1"/>
    <col min="11521" max="11529" width="5.625" style="1" customWidth="1"/>
    <col min="11530" max="11530" width="1.625" style="1" customWidth="1"/>
    <col min="11531" max="11531" width="4.625" style="1" customWidth="1"/>
    <col min="11532" max="11539" width="5.625" style="1" customWidth="1"/>
    <col min="11540" max="11540" width="4.125" style="1" customWidth="1"/>
    <col min="11541" max="11545" width="3.625" style="1" customWidth="1"/>
    <col min="11546" max="11546" width="2.125" style="1" customWidth="1"/>
    <col min="11547" max="11547" width="5" style="1" customWidth="1"/>
    <col min="11548" max="11548" width="6" style="1" customWidth="1"/>
    <col min="11549" max="11549" width="2.125" style="1" customWidth="1"/>
    <col min="11550" max="11550" width="5.625" style="1" customWidth="1"/>
    <col min="11551" max="11551" width="2.125" style="1" customWidth="1"/>
    <col min="11552" max="11552" width="5.625" style="1" customWidth="1"/>
    <col min="11553" max="11553" width="3.25" style="1" customWidth="1"/>
    <col min="11554" max="11556" width="3.625" style="1" customWidth="1"/>
    <col min="11557" max="11559" width="6.625" style="1" customWidth="1"/>
    <col min="11560" max="11568" width="5.625" style="1" customWidth="1"/>
    <col min="11569" max="11569" width="1.625" style="1" customWidth="1"/>
    <col min="11570" max="11570" width="4.625" style="1" customWidth="1"/>
    <col min="11571" max="11578" width="5.625" style="1" customWidth="1"/>
    <col min="11579" max="11579" width="4.125" style="1" customWidth="1"/>
    <col min="11580" max="11584" width="3.625" style="1" customWidth="1"/>
    <col min="11585" max="11585" width="2.125" style="1" customWidth="1"/>
    <col min="11586" max="11586" width="5" style="1" customWidth="1"/>
    <col min="11587" max="11587" width="6" style="1" customWidth="1"/>
    <col min="11588" max="11588" width="2.125" style="1" customWidth="1"/>
    <col min="11589" max="11589" width="5.625" style="1" customWidth="1"/>
    <col min="11590" max="11590" width="2.125" style="1" customWidth="1"/>
    <col min="11591" max="11591" width="5.625" style="1" customWidth="1"/>
    <col min="11592" max="11592" width="3.25" style="1" customWidth="1"/>
    <col min="11593" max="11595" width="3.625" style="1" customWidth="1"/>
    <col min="11596" max="11598" width="6.625" style="1" customWidth="1"/>
    <col min="11599" max="11776" width="9" style="1"/>
    <col min="11777" max="11785" width="5.625" style="1" customWidth="1"/>
    <col min="11786" max="11786" width="1.625" style="1" customWidth="1"/>
    <col min="11787" max="11787" width="4.625" style="1" customWidth="1"/>
    <col min="11788" max="11795" width="5.625" style="1" customWidth="1"/>
    <col min="11796" max="11796" width="4.125" style="1" customWidth="1"/>
    <col min="11797" max="11801" width="3.625" style="1" customWidth="1"/>
    <col min="11802" max="11802" width="2.125" style="1" customWidth="1"/>
    <col min="11803" max="11803" width="5" style="1" customWidth="1"/>
    <col min="11804" max="11804" width="6" style="1" customWidth="1"/>
    <col min="11805" max="11805" width="2.125" style="1" customWidth="1"/>
    <col min="11806" max="11806" width="5.625" style="1" customWidth="1"/>
    <col min="11807" max="11807" width="2.125" style="1" customWidth="1"/>
    <col min="11808" max="11808" width="5.625" style="1" customWidth="1"/>
    <col min="11809" max="11809" width="3.25" style="1" customWidth="1"/>
    <col min="11810" max="11812" width="3.625" style="1" customWidth="1"/>
    <col min="11813" max="11815" width="6.625" style="1" customWidth="1"/>
    <col min="11816" max="11824" width="5.625" style="1" customWidth="1"/>
    <col min="11825" max="11825" width="1.625" style="1" customWidth="1"/>
    <col min="11826" max="11826" width="4.625" style="1" customWidth="1"/>
    <col min="11827" max="11834" width="5.625" style="1" customWidth="1"/>
    <col min="11835" max="11835" width="4.125" style="1" customWidth="1"/>
    <col min="11836" max="11840" width="3.625" style="1" customWidth="1"/>
    <col min="11841" max="11841" width="2.125" style="1" customWidth="1"/>
    <col min="11842" max="11842" width="5" style="1" customWidth="1"/>
    <col min="11843" max="11843" width="6" style="1" customWidth="1"/>
    <col min="11844" max="11844" width="2.125" style="1" customWidth="1"/>
    <col min="11845" max="11845" width="5.625" style="1" customWidth="1"/>
    <col min="11846" max="11846" width="2.125" style="1" customWidth="1"/>
    <col min="11847" max="11847" width="5.625" style="1" customWidth="1"/>
    <col min="11848" max="11848" width="3.25" style="1" customWidth="1"/>
    <col min="11849" max="11851" width="3.625" style="1" customWidth="1"/>
    <col min="11852" max="11854" width="6.625" style="1" customWidth="1"/>
    <col min="11855" max="12032" width="9" style="1"/>
    <col min="12033" max="12041" width="5.625" style="1" customWidth="1"/>
    <col min="12042" max="12042" width="1.625" style="1" customWidth="1"/>
    <col min="12043" max="12043" width="4.625" style="1" customWidth="1"/>
    <col min="12044" max="12051" width="5.625" style="1" customWidth="1"/>
    <col min="12052" max="12052" width="4.125" style="1" customWidth="1"/>
    <col min="12053" max="12057" width="3.625" style="1" customWidth="1"/>
    <col min="12058" max="12058" width="2.125" style="1" customWidth="1"/>
    <col min="12059" max="12059" width="5" style="1" customWidth="1"/>
    <col min="12060" max="12060" width="6" style="1" customWidth="1"/>
    <col min="12061" max="12061" width="2.125" style="1" customWidth="1"/>
    <col min="12062" max="12062" width="5.625" style="1" customWidth="1"/>
    <col min="12063" max="12063" width="2.125" style="1" customWidth="1"/>
    <col min="12064" max="12064" width="5.625" style="1" customWidth="1"/>
    <col min="12065" max="12065" width="3.25" style="1" customWidth="1"/>
    <col min="12066" max="12068" width="3.625" style="1" customWidth="1"/>
    <col min="12069" max="12071" width="6.625" style="1" customWidth="1"/>
    <col min="12072" max="12080" width="5.625" style="1" customWidth="1"/>
    <col min="12081" max="12081" width="1.625" style="1" customWidth="1"/>
    <col min="12082" max="12082" width="4.625" style="1" customWidth="1"/>
    <col min="12083" max="12090" width="5.625" style="1" customWidth="1"/>
    <col min="12091" max="12091" width="4.125" style="1" customWidth="1"/>
    <col min="12092" max="12096" width="3.625" style="1" customWidth="1"/>
    <col min="12097" max="12097" width="2.125" style="1" customWidth="1"/>
    <col min="12098" max="12098" width="5" style="1" customWidth="1"/>
    <col min="12099" max="12099" width="6" style="1" customWidth="1"/>
    <col min="12100" max="12100" width="2.125" style="1" customWidth="1"/>
    <col min="12101" max="12101" width="5.625" style="1" customWidth="1"/>
    <col min="12102" max="12102" width="2.125" style="1" customWidth="1"/>
    <col min="12103" max="12103" width="5.625" style="1" customWidth="1"/>
    <col min="12104" max="12104" width="3.25" style="1" customWidth="1"/>
    <col min="12105" max="12107" width="3.625" style="1" customWidth="1"/>
    <col min="12108" max="12110" width="6.625" style="1" customWidth="1"/>
    <col min="12111" max="12288" width="9" style="1"/>
    <col min="12289" max="12297" width="5.625" style="1" customWidth="1"/>
    <col min="12298" max="12298" width="1.625" style="1" customWidth="1"/>
    <col min="12299" max="12299" width="4.625" style="1" customWidth="1"/>
    <col min="12300" max="12307" width="5.625" style="1" customWidth="1"/>
    <col min="12308" max="12308" width="4.125" style="1" customWidth="1"/>
    <col min="12309" max="12313" width="3.625" style="1" customWidth="1"/>
    <col min="12314" max="12314" width="2.125" style="1" customWidth="1"/>
    <col min="12315" max="12315" width="5" style="1" customWidth="1"/>
    <col min="12316" max="12316" width="6" style="1" customWidth="1"/>
    <col min="12317" max="12317" width="2.125" style="1" customWidth="1"/>
    <col min="12318" max="12318" width="5.625" style="1" customWidth="1"/>
    <col min="12319" max="12319" width="2.125" style="1" customWidth="1"/>
    <col min="12320" max="12320" width="5.625" style="1" customWidth="1"/>
    <col min="12321" max="12321" width="3.25" style="1" customWidth="1"/>
    <col min="12322" max="12324" width="3.625" style="1" customWidth="1"/>
    <col min="12325" max="12327" width="6.625" style="1" customWidth="1"/>
    <col min="12328" max="12336" width="5.625" style="1" customWidth="1"/>
    <col min="12337" max="12337" width="1.625" style="1" customWidth="1"/>
    <col min="12338" max="12338" width="4.625" style="1" customWidth="1"/>
    <col min="12339" max="12346" width="5.625" style="1" customWidth="1"/>
    <col min="12347" max="12347" width="4.125" style="1" customWidth="1"/>
    <col min="12348" max="12352" width="3.625" style="1" customWidth="1"/>
    <col min="12353" max="12353" width="2.125" style="1" customWidth="1"/>
    <col min="12354" max="12354" width="5" style="1" customWidth="1"/>
    <col min="12355" max="12355" width="6" style="1" customWidth="1"/>
    <col min="12356" max="12356" width="2.125" style="1" customWidth="1"/>
    <col min="12357" max="12357" width="5.625" style="1" customWidth="1"/>
    <col min="12358" max="12358" width="2.125" style="1" customWidth="1"/>
    <col min="12359" max="12359" width="5.625" style="1" customWidth="1"/>
    <col min="12360" max="12360" width="3.25" style="1" customWidth="1"/>
    <col min="12361" max="12363" width="3.625" style="1" customWidth="1"/>
    <col min="12364" max="12366" width="6.625" style="1" customWidth="1"/>
    <col min="12367" max="12544" width="9" style="1"/>
    <col min="12545" max="12553" width="5.625" style="1" customWidth="1"/>
    <col min="12554" max="12554" width="1.625" style="1" customWidth="1"/>
    <col min="12555" max="12555" width="4.625" style="1" customWidth="1"/>
    <col min="12556" max="12563" width="5.625" style="1" customWidth="1"/>
    <col min="12564" max="12564" width="4.125" style="1" customWidth="1"/>
    <col min="12565" max="12569" width="3.625" style="1" customWidth="1"/>
    <col min="12570" max="12570" width="2.125" style="1" customWidth="1"/>
    <col min="12571" max="12571" width="5" style="1" customWidth="1"/>
    <col min="12572" max="12572" width="6" style="1" customWidth="1"/>
    <col min="12573" max="12573" width="2.125" style="1" customWidth="1"/>
    <col min="12574" max="12574" width="5.625" style="1" customWidth="1"/>
    <col min="12575" max="12575" width="2.125" style="1" customWidth="1"/>
    <col min="12576" max="12576" width="5.625" style="1" customWidth="1"/>
    <col min="12577" max="12577" width="3.25" style="1" customWidth="1"/>
    <col min="12578" max="12580" width="3.625" style="1" customWidth="1"/>
    <col min="12581" max="12583" width="6.625" style="1" customWidth="1"/>
    <col min="12584" max="12592" width="5.625" style="1" customWidth="1"/>
    <col min="12593" max="12593" width="1.625" style="1" customWidth="1"/>
    <col min="12594" max="12594" width="4.625" style="1" customWidth="1"/>
    <col min="12595" max="12602" width="5.625" style="1" customWidth="1"/>
    <col min="12603" max="12603" width="4.125" style="1" customWidth="1"/>
    <col min="12604" max="12608" width="3.625" style="1" customWidth="1"/>
    <col min="12609" max="12609" width="2.125" style="1" customWidth="1"/>
    <col min="12610" max="12610" width="5" style="1" customWidth="1"/>
    <col min="12611" max="12611" width="6" style="1" customWidth="1"/>
    <col min="12612" max="12612" width="2.125" style="1" customWidth="1"/>
    <col min="12613" max="12613" width="5.625" style="1" customWidth="1"/>
    <col min="12614" max="12614" width="2.125" style="1" customWidth="1"/>
    <col min="12615" max="12615" width="5.625" style="1" customWidth="1"/>
    <col min="12616" max="12616" width="3.25" style="1" customWidth="1"/>
    <col min="12617" max="12619" width="3.625" style="1" customWidth="1"/>
    <col min="12620" max="12622" width="6.625" style="1" customWidth="1"/>
    <col min="12623" max="12800" width="9" style="1"/>
    <col min="12801" max="12809" width="5.625" style="1" customWidth="1"/>
    <col min="12810" max="12810" width="1.625" style="1" customWidth="1"/>
    <col min="12811" max="12811" width="4.625" style="1" customWidth="1"/>
    <col min="12812" max="12819" width="5.625" style="1" customWidth="1"/>
    <col min="12820" max="12820" width="4.125" style="1" customWidth="1"/>
    <col min="12821" max="12825" width="3.625" style="1" customWidth="1"/>
    <col min="12826" max="12826" width="2.125" style="1" customWidth="1"/>
    <col min="12827" max="12827" width="5" style="1" customWidth="1"/>
    <col min="12828" max="12828" width="6" style="1" customWidth="1"/>
    <col min="12829" max="12829" width="2.125" style="1" customWidth="1"/>
    <col min="12830" max="12830" width="5.625" style="1" customWidth="1"/>
    <col min="12831" max="12831" width="2.125" style="1" customWidth="1"/>
    <col min="12832" max="12832" width="5.625" style="1" customWidth="1"/>
    <col min="12833" max="12833" width="3.25" style="1" customWidth="1"/>
    <col min="12834" max="12836" width="3.625" style="1" customWidth="1"/>
    <col min="12837" max="12839" width="6.625" style="1" customWidth="1"/>
    <col min="12840" max="12848" width="5.625" style="1" customWidth="1"/>
    <col min="12849" max="12849" width="1.625" style="1" customWidth="1"/>
    <col min="12850" max="12850" width="4.625" style="1" customWidth="1"/>
    <col min="12851" max="12858" width="5.625" style="1" customWidth="1"/>
    <col min="12859" max="12859" width="4.125" style="1" customWidth="1"/>
    <col min="12860" max="12864" width="3.625" style="1" customWidth="1"/>
    <col min="12865" max="12865" width="2.125" style="1" customWidth="1"/>
    <col min="12866" max="12866" width="5" style="1" customWidth="1"/>
    <col min="12867" max="12867" width="6" style="1" customWidth="1"/>
    <col min="12868" max="12868" width="2.125" style="1" customWidth="1"/>
    <col min="12869" max="12869" width="5.625" style="1" customWidth="1"/>
    <col min="12870" max="12870" width="2.125" style="1" customWidth="1"/>
    <col min="12871" max="12871" width="5.625" style="1" customWidth="1"/>
    <col min="12872" max="12872" width="3.25" style="1" customWidth="1"/>
    <col min="12873" max="12875" width="3.625" style="1" customWidth="1"/>
    <col min="12876" max="12878" width="6.625" style="1" customWidth="1"/>
    <col min="12879" max="13056" width="9" style="1"/>
    <col min="13057" max="13065" width="5.625" style="1" customWidth="1"/>
    <col min="13066" max="13066" width="1.625" style="1" customWidth="1"/>
    <col min="13067" max="13067" width="4.625" style="1" customWidth="1"/>
    <col min="13068" max="13075" width="5.625" style="1" customWidth="1"/>
    <col min="13076" max="13076" width="4.125" style="1" customWidth="1"/>
    <col min="13077" max="13081" width="3.625" style="1" customWidth="1"/>
    <col min="13082" max="13082" width="2.125" style="1" customWidth="1"/>
    <col min="13083" max="13083" width="5" style="1" customWidth="1"/>
    <col min="13084" max="13084" width="6" style="1" customWidth="1"/>
    <col min="13085" max="13085" width="2.125" style="1" customWidth="1"/>
    <col min="13086" max="13086" width="5.625" style="1" customWidth="1"/>
    <col min="13087" max="13087" width="2.125" style="1" customWidth="1"/>
    <col min="13088" max="13088" width="5.625" style="1" customWidth="1"/>
    <col min="13089" max="13089" width="3.25" style="1" customWidth="1"/>
    <col min="13090" max="13092" width="3.625" style="1" customWidth="1"/>
    <col min="13093" max="13095" width="6.625" style="1" customWidth="1"/>
    <col min="13096" max="13104" width="5.625" style="1" customWidth="1"/>
    <col min="13105" max="13105" width="1.625" style="1" customWidth="1"/>
    <col min="13106" max="13106" width="4.625" style="1" customWidth="1"/>
    <col min="13107" max="13114" width="5.625" style="1" customWidth="1"/>
    <col min="13115" max="13115" width="4.125" style="1" customWidth="1"/>
    <col min="13116" max="13120" width="3.625" style="1" customWidth="1"/>
    <col min="13121" max="13121" width="2.125" style="1" customWidth="1"/>
    <col min="13122" max="13122" width="5" style="1" customWidth="1"/>
    <col min="13123" max="13123" width="6" style="1" customWidth="1"/>
    <col min="13124" max="13124" width="2.125" style="1" customWidth="1"/>
    <col min="13125" max="13125" width="5.625" style="1" customWidth="1"/>
    <col min="13126" max="13126" width="2.125" style="1" customWidth="1"/>
    <col min="13127" max="13127" width="5.625" style="1" customWidth="1"/>
    <col min="13128" max="13128" width="3.25" style="1" customWidth="1"/>
    <col min="13129" max="13131" width="3.625" style="1" customWidth="1"/>
    <col min="13132" max="13134" width="6.625" style="1" customWidth="1"/>
    <col min="13135" max="13312" width="9" style="1"/>
    <col min="13313" max="13321" width="5.625" style="1" customWidth="1"/>
    <col min="13322" max="13322" width="1.625" style="1" customWidth="1"/>
    <col min="13323" max="13323" width="4.625" style="1" customWidth="1"/>
    <col min="13324" max="13331" width="5.625" style="1" customWidth="1"/>
    <col min="13332" max="13332" width="4.125" style="1" customWidth="1"/>
    <col min="13333" max="13337" width="3.625" style="1" customWidth="1"/>
    <col min="13338" max="13338" width="2.125" style="1" customWidth="1"/>
    <col min="13339" max="13339" width="5" style="1" customWidth="1"/>
    <col min="13340" max="13340" width="6" style="1" customWidth="1"/>
    <col min="13341" max="13341" width="2.125" style="1" customWidth="1"/>
    <col min="13342" max="13342" width="5.625" style="1" customWidth="1"/>
    <col min="13343" max="13343" width="2.125" style="1" customWidth="1"/>
    <col min="13344" max="13344" width="5.625" style="1" customWidth="1"/>
    <col min="13345" max="13345" width="3.25" style="1" customWidth="1"/>
    <col min="13346" max="13348" width="3.625" style="1" customWidth="1"/>
    <col min="13349" max="13351" width="6.625" style="1" customWidth="1"/>
    <col min="13352" max="13360" width="5.625" style="1" customWidth="1"/>
    <col min="13361" max="13361" width="1.625" style="1" customWidth="1"/>
    <col min="13362" max="13362" width="4.625" style="1" customWidth="1"/>
    <col min="13363" max="13370" width="5.625" style="1" customWidth="1"/>
    <col min="13371" max="13371" width="4.125" style="1" customWidth="1"/>
    <col min="13372" max="13376" width="3.625" style="1" customWidth="1"/>
    <col min="13377" max="13377" width="2.125" style="1" customWidth="1"/>
    <col min="13378" max="13378" width="5" style="1" customWidth="1"/>
    <col min="13379" max="13379" width="6" style="1" customWidth="1"/>
    <col min="13380" max="13380" width="2.125" style="1" customWidth="1"/>
    <col min="13381" max="13381" width="5.625" style="1" customWidth="1"/>
    <col min="13382" max="13382" width="2.125" style="1" customWidth="1"/>
    <col min="13383" max="13383" width="5.625" style="1" customWidth="1"/>
    <col min="13384" max="13384" width="3.25" style="1" customWidth="1"/>
    <col min="13385" max="13387" width="3.625" style="1" customWidth="1"/>
    <col min="13388" max="13390" width="6.625" style="1" customWidth="1"/>
    <col min="13391" max="13568" width="9" style="1"/>
    <col min="13569" max="13577" width="5.625" style="1" customWidth="1"/>
    <col min="13578" max="13578" width="1.625" style="1" customWidth="1"/>
    <col min="13579" max="13579" width="4.625" style="1" customWidth="1"/>
    <col min="13580" max="13587" width="5.625" style="1" customWidth="1"/>
    <col min="13588" max="13588" width="4.125" style="1" customWidth="1"/>
    <col min="13589" max="13593" width="3.625" style="1" customWidth="1"/>
    <col min="13594" max="13594" width="2.125" style="1" customWidth="1"/>
    <col min="13595" max="13595" width="5" style="1" customWidth="1"/>
    <col min="13596" max="13596" width="6" style="1" customWidth="1"/>
    <col min="13597" max="13597" width="2.125" style="1" customWidth="1"/>
    <col min="13598" max="13598" width="5.625" style="1" customWidth="1"/>
    <col min="13599" max="13599" width="2.125" style="1" customWidth="1"/>
    <col min="13600" max="13600" width="5.625" style="1" customWidth="1"/>
    <col min="13601" max="13601" width="3.25" style="1" customWidth="1"/>
    <col min="13602" max="13604" width="3.625" style="1" customWidth="1"/>
    <col min="13605" max="13607" width="6.625" style="1" customWidth="1"/>
    <col min="13608" max="13616" width="5.625" style="1" customWidth="1"/>
    <col min="13617" max="13617" width="1.625" style="1" customWidth="1"/>
    <col min="13618" max="13618" width="4.625" style="1" customWidth="1"/>
    <col min="13619" max="13626" width="5.625" style="1" customWidth="1"/>
    <col min="13627" max="13627" width="4.125" style="1" customWidth="1"/>
    <col min="13628" max="13632" width="3.625" style="1" customWidth="1"/>
    <col min="13633" max="13633" width="2.125" style="1" customWidth="1"/>
    <col min="13634" max="13634" width="5" style="1" customWidth="1"/>
    <col min="13635" max="13635" width="6" style="1" customWidth="1"/>
    <col min="13636" max="13636" width="2.125" style="1" customWidth="1"/>
    <col min="13637" max="13637" width="5.625" style="1" customWidth="1"/>
    <col min="13638" max="13638" width="2.125" style="1" customWidth="1"/>
    <col min="13639" max="13639" width="5.625" style="1" customWidth="1"/>
    <col min="13640" max="13640" width="3.25" style="1" customWidth="1"/>
    <col min="13641" max="13643" width="3.625" style="1" customWidth="1"/>
    <col min="13644" max="13646" width="6.625" style="1" customWidth="1"/>
    <col min="13647" max="13824" width="9" style="1"/>
    <col min="13825" max="13833" width="5.625" style="1" customWidth="1"/>
    <col min="13834" max="13834" width="1.625" style="1" customWidth="1"/>
    <col min="13835" max="13835" width="4.625" style="1" customWidth="1"/>
    <col min="13836" max="13843" width="5.625" style="1" customWidth="1"/>
    <col min="13844" max="13844" width="4.125" style="1" customWidth="1"/>
    <col min="13845" max="13849" width="3.625" style="1" customWidth="1"/>
    <col min="13850" max="13850" width="2.125" style="1" customWidth="1"/>
    <col min="13851" max="13851" width="5" style="1" customWidth="1"/>
    <col min="13852" max="13852" width="6" style="1" customWidth="1"/>
    <col min="13853" max="13853" width="2.125" style="1" customWidth="1"/>
    <col min="13854" max="13854" width="5.625" style="1" customWidth="1"/>
    <col min="13855" max="13855" width="2.125" style="1" customWidth="1"/>
    <col min="13856" max="13856" width="5.625" style="1" customWidth="1"/>
    <col min="13857" max="13857" width="3.25" style="1" customWidth="1"/>
    <col min="13858" max="13860" width="3.625" style="1" customWidth="1"/>
    <col min="13861" max="13863" width="6.625" style="1" customWidth="1"/>
    <col min="13864" max="13872" width="5.625" style="1" customWidth="1"/>
    <col min="13873" max="13873" width="1.625" style="1" customWidth="1"/>
    <col min="13874" max="13874" width="4.625" style="1" customWidth="1"/>
    <col min="13875" max="13882" width="5.625" style="1" customWidth="1"/>
    <col min="13883" max="13883" width="4.125" style="1" customWidth="1"/>
    <col min="13884" max="13888" width="3.625" style="1" customWidth="1"/>
    <col min="13889" max="13889" width="2.125" style="1" customWidth="1"/>
    <col min="13890" max="13890" width="5" style="1" customWidth="1"/>
    <col min="13891" max="13891" width="6" style="1" customWidth="1"/>
    <col min="13892" max="13892" width="2.125" style="1" customWidth="1"/>
    <col min="13893" max="13893" width="5.625" style="1" customWidth="1"/>
    <col min="13894" max="13894" width="2.125" style="1" customWidth="1"/>
    <col min="13895" max="13895" width="5.625" style="1" customWidth="1"/>
    <col min="13896" max="13896" width="3.25" style="1" customWidth="1"/>
    <col min="13897" max="13899" width="3.625" style="1" customWidth="1"/>
    <col min="13900" max="13902" width="6.625" style="1" customWidth="1"/>
    <col min="13903" max="14080" width="9" style="1"/>
    <col min="14081" max="14089" width="5.625" style="1" customWidth="1"/>
    <col min="14090" max="14090" width="1.625" style="1" customWidth="1"/>
    <col min="14091" max="14091" width="4.625" style="1" customWidth="1"/>
    <col min="14092" max="14099" width="5.625" style="1" customWidth="1"/>
    <col min="14100" max="14100" width="4.125" style="1" customWidth="1"/>
    <col min="14101" max="14105" width="3.625" style="1" customWidth="1"/>
    <col min="14106" max="14106" width="2.125" style="1" customWidth="1"/>
    <col min="14107" max="14107" width="5" style="1" customWidth="1"/>
    <col min="14108" max="14108" width="6" style="1" customWidth="1"/>
    <col min="14109" max="14109" width="2.125" style="1" customWidth="1"/>
    <col min="14110" max="14110" width="5.625" style="1" customWidth="1"/>
    <col min="14111" max="14111" width="2.125" style="1" customWidth="1"/>
    <col min="14112" max="14112" width="5.625" style="1" customWidth="1"/>
    <col min="14113" max="14113" width="3.25" style="1" customWidth="1"/>
    <col min="14114" max="14116" width="3.625" style="1" customWidth="1"/>
    <col min="14117" max="14119" width="6.625" style="1" customWidth="1"/>
    <col min="14120" max="14128" width="5.625" style="1" customWidth="1"/>
    <col min="14129" max="14129" width="1.625" style="1" customWidth="1"/>
    <col min="14130" max="14130" width="4.625" style="1" customWidth="1"/>
    <col min="14131" max="14138" width="5.625" style="1" customWidth="1"/>
    <col min="14139" max="14139" width="4.125" style="1" customWidth="1"/>
    <col min="14140" max="14144" width="3.625" style="1" customWidth="1"/>
    <col min="14145" max="14145" width="2.125" style="1" customWidth="1"/>
    <col min="14146" max="14146" width="5" style="1" customWidth="1"/>
    <col min="14147" max="14147" width="6" style="1" customWidth="1"/>
    <col min="14148" max="14148" width="2.125" style="1" customWidth="1"/>
    <col min="14149" max="14149" width="5.625" style="1" customWidth="1"/>
    <col min="14150" max="14150" width="2.125" style="1" customWidth="1"/>
    <col min="14151" max="14151" width="5.625" style="1" customWidth="1"/>
    <col min="14152" max="14152" width="3.25" style="1" customWidth="1"/>
    <col min="14153" max="14155" width="3.625" style="1" customWidth="1"/>
    <col min="14156" max="14158" width="6.625" style="1" customWidth="1"/>
    <col min="14159" max="14336" width="9" style="1"/>
    <col min="14337" max="14345" width="5.625" style="1" customWidth="1"/>
    <col min="14346" max="14346" width="1.625" style="1" customWidth="1"/>
    <col min="14347" max="14347" width="4.625" style="1" customWidth="1"/>
    <col min="14348" max="14355" width="5.625" style="1" customWidth="1"/>
    <col min="14356" max="14356" width="4.125" style="1" customWidth="1"/>
    <col min="14357" max="14361" width="3.625" style="1" customWidth="1"/>
    <col min="14362" max="14362" width="2.125" style="1" customWidth="1"/>
    <col min="14363" max="14363" width="5" style="1" customWidth="1"/>
    <col min="14364" max="14364" width="6" style="1" customWidth="1"/>
    <col min="14365" max="14365" width="2.125" style="1" customWidth="1"/>
    <col min="14366" max="14366" width="5.625" style="1" customWidth="1"/>
    <col min="14367" max="14367" width="2.125" style="1" customWidth="1"/>
    <col min="14368" max="14368" width="5.625" style="1" customWidth="1"/>
    <col min="14369" max="14369" width="3.25" style="1" customWidth="1"/>
    <col min="14370" max="14372" width="3.625" style="1" customWidth="1"/>
    <col min="14373" max="14375" width="6.625" style="1" customWidth="1"/>
    <col min="14376" max="14384" width="5.625" style="1" customWidth="1"/>
    <col min="14385" max="14385" width="1.625" style="1" customWidth="1"/>
    <col min="14386" max="14386" width="4.625" style="1" customWidth="1"/>
    <col min="14387" max="14394" width="5.625" style="1" customWidth="1"/>
    <col min="14395" max="14395" width="4.125" style="1" customWidth="1"/>
    <col min="14396" max="14400" width="3.625" style="1" customWidth="1"/>
    <col min="14401" max="14401" width="2.125" style="1" customWidth="1"/>
    <col min="14402" max="14402" width="5" style="1" customWidth="1"/>
    <col min="14403" max="14403" width="6" style="1" customWidth="1"/>
    <col min="14404" max="14404" width="2.125" style="1" customWidth="1"/>
    <col min="14405" max="14405" width="5.625" style="1" customWidth="1"/>
    <col min="14406" max="14406" width="2.125" style="1" customWidth="1"/>
    <col min="14407" max="14407" width="5.625" style="1" customWidth="1"/>
    <col min="14408" max="14408" width="3.25" style="1" customWidth="1"/>
    <col min="14409" max="14411" width="3.625" style="1" customWidth="1"/>
    <col min="14412" max="14414" width="6.625" style="1" customWidth="1"/>
    <col min="14415" max="14592" width="9" style="1"/>
    <col min="14593" max="14601" width="5.625" style="1" customWidth="1"/>
    <col min="14602" max="14602" width="1.625" style="1" customWidth="1"/>
    <col min="14603" max="14603" width="4.625" style="1" customWidth="1"/>
    <col min="14604" max="14611" width="5.625" style="1" customWidth="1"/>
    <col min="14612" max="14612" width="4.125" style="1" customWidth="1"/>
    <col min="14613" max="14617" width="3.625" style="1" customWidth="1"/>
    <col min="14618" max="14618" width="2.125" style="1" customWidth="1"/>
    <col min="14619" max="14619" width="5" style="1" customWidth="1"/>
    <col min="14620" max="14620" width="6" style="1" customWidth="1"/>
    <col min="14621" max="14621" width="2.125" style="1" customWidth="1"/>
    <col min="14622" max="14622" width="5.625" style="1" customWidth="1"/>
    <col min="14623" max="14623" width="2.125" style="1" customWidth="1"/>
    <col min="14624" max="14624" width="5.625" style="1" customWidth="1"/>
    <col min="14625" max="14625" width="3.25" style="1" customWidth="1"/>
    <col min="14626" max="14628" width="3.625" style="1" customWidth="1"/>
    <col min="14629" max="14631" width="6.625" style="1" customWidth="1"/>
    <col min="14632" max="14640" width="5.625" style="1" customWidth="1"/>
    <col min="14641" max="14641" width="1.625" style="1" customWidth="1"/>
    <col min="14642" max="14642" width="4.625" style="1" customWidth="1"/>
    <col min="14643" max="14650" width="5.625" style="1" customWidth="1"/>
    <col min="14651" max="14651" width="4.125" style="1" customWidth="1"/>
    <col min="14652" max="14656" width="3.625" style="1" customWidth="1"/>
    <col min="14657" max="14657" width="2.125" style="1" customWidth="1"/>
    <col min="14658" max="14658" width="5" style="1" customWidth="1"/>
    <col min="14659" max="14659" width="6" style="1" customWidth="1"/>
    <col min="14660" max="14660" width="2.125" style="1" customWidth="1"/>
    <col min="14661" max="14661" width="5.625" style="1" customWidth="1"/>
    <col min="14662" max="14662" width="2.125" style="1" customWidth="1"/>
    <col min="14663" max="14663" width="5.625" style="1" customWidth="1"/>
    <col min="14664" max="14664" width="3.25" style="1" customWidth="1"/>
    <col min="14665" max="14667" width="3.625" style="1" customWidth="1"/>
    <col min="14668" max="14670" width="6.625" style="1" customWidth="1"/>
    <col min="14671" max="14848" width="9" style="1"/>
    <col min="14849" max="14857" width="5.625" style="1" customWidth="1"/>
    <col min="14858" max="14858" width="1.625" style="1" customWidth="1"/>
    <col min="14859" max="14859" width="4.625" style="1" customWidth="1"/>
    <col min="14860" max="14867" width="5.625" style="1" customWidth="1"/>
    <col min="14868" max="14868" width="4.125" style="1" customWidth="1"/>
    <col min="14869" max="14873" width="3.625" style="1" customWidth="1"/>
    <col min="14874" max="14874" width="2.125" style="1" customWidth="1"/>
    <col min="14875" max="14875" width="5" style="1" customWidth="1"/>
    <col min="14876" max="14876" width="6" style="1" customWidth="1"/>
    <col min="14877" max="14877" width="2.125" style="1" customWidth="1"/>
    <col min="14878" max="14878" width="5.625" style="1" customWidth="1"/>
    <col min="14879" max="14879" width="2.125" style="1" customWidth="1"/>
    <col min="14880" max="14880" width="5.625" style="1" customWidth="1"/>
    <col min="14881" max="14881" width="3.25" style="1" customWidth="1"/>
    <col min="14882" max="14884" width="3.625" style="1" customWidth="1"/>
    <col min="14885" max="14887" width="6.625" style="1" customWidth="1"/>
    <col min="14888" max="14896" width="5.625" style="1" customWidth="1"/>
    <col min="14897" max="14897" width="1.625" style="1" customWidth="1"/>
    <col min="14898" max="14898" width="4.625" style="1" customWidth="1"/>
    <col min="14899" max="14906" width="5.625" style="1" customWidth="1"/>
    <col min="14907" max="14907" width="4.125" style="1" customWidth="1"/>
    <col min="14908" max="14912" width="3.625" style="1" customWidth="1"/>
    <col min="14913" max="14913" width="2.125" style="1" customWidth="1"/>
    <col min="14914" max="14914" width="5" style="1" customWidth="1"/>
    <col min="14915" max="14915" width="6" style="1" customWidth="1"/>
    <col min="14916" max="14916" width="2.125" style="1" customWidth="1"/>
    <col min="14917" max="14917" width="5.625" style="1" customWidth="1"/>
    <col min="14918" max="14918" width="2.125" style="1" customWidth="1"/>
    <col min="14919" max="14919" width="5.625" style="1" customWidth="1"/>
    <col min="14920" max="14920" width="3.25" style="1" customWidth="1"/>
    <col min="14921" max="14923" width="3.625" style="1" customWidth="1"/>
    <col min="14924" max="14926" width="6.625" style="1" customWidth="1"/>
    <col min="14927" max="15104" width="9" style="1"/>
    <col min="15105" max="15113" width="5.625" style="1" customWidth="1"/>
    <col min="15114" max="15114" width="1.625" style="1" customWidth="1"/>
    <col min="15115" max="15115" width="4.625" style="1" customWidth="1"/>
    <col min="15116" max="15123" width="5.625" style="1" customWidth="1"/>
    <col min="15124" max="15124" width="4.125" style="1" customWidth="1"/>
    <col min="15125" max="15129" width="3.625" style="1" customWidth="1"/>
    <col min="15130" max="15130" width="2.125" style="1" customWidth="1"/>
    <col min="15131" max="15131" width="5" style="1" customWidth="1"/>
    <col min="15132" max="15132" width="6" style="1" customWidth="1"/>
    <col min="15133" max="15133" width="2.125" style="1" customWidth="1"/>
    <col min="15134" max="15134" width="5.625" style="1" customWidth="1"/>
    <col min="15135" max="15135" width="2.125" style="1" customWidth="1"/>
    <col min="15136" max="15136" width="5.625" style="1" customWidth="1"/>
    <col min="15137" max="15137" width="3.25" style="1" customWidth="1"/>
    <col min="15138" max="15140" width="3.625" style="1" customWidth="1"/>
    <col min="15141" max="15143" width="6.625" style="1" customWidth="1"/>
    <col min="15144" max="15152" width="5.625" style="1" customWidth="1"/>
    <col min="15153" max="15153" width="1.625" style="1" customWidth="1"/>
    <col min="15154" max="15154" width="4.625" style="1" customWidth="1"/>
    <col min="15155" max="15162" width="5.625" style="1" customWidth="1"/>
    <col min="15163" max="15163" width="4.125" style="1" customWidth="1"/>
    <col min="15164" max="15168" width="3.625" style="1" customWidth="1"/>
    <col min="15169" max="15169" width="2.125" style="1" customWidth="1"/>
    <col min="15170" max="15170" width="5" style="1" customWidth="1"/>
    <col min="15171" max="15171" width="6" style="1" customWidth="1"/>
    <col min="15172" max="15172" width="2.125" style="1" customWidth="1"/>
    <col min="15173" max="15173" width="5.625" style="1" customWidth="1"/>
    <col min="15174" max="15174" width="2.125" style="1" customWidth="1"/>
    <col min="15175" max="15175" width="5.625" style="1" customWidth="1"/>
    <col min="15176" max="15176" width="3.25" style="1" customWidth="1"/>
    <col min="15177" max="15179" width="3.625" style="1" customWidth="1"/>
    <col min="15180" max="15182" width="6.625" style="1" customWidth="1"/>
    <col min="15183" max="15360" width="9" style="1"/>
    <col min="15361" max="15369" width="5.625" style="1" customWidth="1"/>
    <col min="15370" max="15370" width="1.625" style="1" customWidth="1"/>
    <col min="15371" max="15371" width="4.625" style="1" customWidth="1"/>
    <col min="15372" max="15379" width="5.625" style="1" customWidth="1"/>
    <col min="15380" max="15380" width="4.125" style="1" customWidth="1"/>
    <col min="15381" max="15385" width="3.625" style="1" customWidth="1"/>
    <col min="15386" max="15386" width="2.125" style="1" customWidth="1"/>
    <col min="15387" max="15387" width="5" style="1" customWidth="1"/>
    <col min="15388" max="15388" width="6" style="1" customWidth="1"/>
    <col min="15389" max="15389" width="2.125" style="1" customWidth="1"/>
    <col min="15390" max="15390" width="5.625" style="1" customWidth="1"/>
    <col min="15391" max="15391" width="2.125" style="1" customWidth="1"/>
    <col min="15392" max="15392" width="5.625" style="1" customWidth="1"/>
    <col min="15393" max="15393" width="3.25" style="1" customWidth="1"/>
    <col min="15394" max="15396" width="3.625" style="1" customWidth="1"/>
    <col min="15397" max="15399" width="6.625" style="1" customWidth="1"/>
    <col min="15400" max="15408" width="5.625" style="1" customWidth="1"/>
    <col min="15409" max="15409" width="1.625" style="1" customWidth="1"/>
    <col min="15410" max="15410" width="4.625" style="1" customWidth="1"/>
    <col min="15411" max="15418" width="5.625" style="1" customWidth="1"/>
    <col min="15419" max="15419" width="4.125" style="1" customWidth="1"/>
    <col min="15420" max="15424" width="3.625" style="1" customWidth="1"/>
    <col min="15425" max="15425" width="2.125" style="1" customWidth="1"/>
    <col min="15426" max="15426" width="5" style="1" customWidth="1"/>
    <col min="15427" max="15427" width="6" style="1" customWidth="1"/>
    <col min="15428" max="15428" width="2.125" style="1" customWidth="1"/>
    <col min="15429" max="15429" width="5.625" style="1" customWidth="1"/>
    <col min="15430" max="15430" width="2.125" style="1" customWidth="1"/>
    <col min="15431" max="15431" width="5.625" style="1" customWidth="1"/>
    <col min="15432" max="15432" width="3.25" style="1" customWidth="1"/>
    <col min="15433" max="15435" width="3.625" style="1" customWidth="1"/>
    <col min="15436" max="15438" width="6.625" style="1" customWidth="1"/>
    <col min="15439" max="15616" width="9" style="1"/>
    <col min="15617" max="15625" width="5.625" style="1" customWidth="1"/>
    <col min="15626" max="15626" width="1.625" style="1" customWidth="1"/>
    <col min="15627" max="15627" width="4.625" style="1" customWidth="1"/>
    <col min="15628" max="15635" width="5.625" style="1" customWidth="1"/>
    <col min="15636" max="15636" width="4.125" style="1" customWidth="1"/>
    <col min="15637" max="15641" width="3.625" style="1" customWidth="1"/>
    <col min="15642" max="15642" width="2.125" style="1" customWidth="1"/>
    <col min="15643" max="15643" width="5" style="1" customWidth="1"/>
    <col min="15644" max="15644" width="6" style="1" customWidth="1"/>
    <col min="15645" max="15645" width="2.125" style="1" customWidth="1"/>
    <col min="15646" max="15646" width="5.625" style="1" customWidth="1"/>
    <col min="15647" max="15647" width="2.125" style="1" customWidth="1"/>
    <col min="15648" max="15648" width="5.625" style="1" customWidth="1"/>
    <col min="15649" max="15649" width="3.25" style="1" customWidth="1"/>
    <col min="15650" max="15652" width="3.625" style="1" customWidth="1"/>
    <col min="15653" max="15655" width="6.625" style="1" customWidth="1"/>
    <col min="15656" max="15664" width="5.625" style="1" customWidth="1"/>
    <col min="15665" max="15665" width="1.625" style="1" customWidth="1"/>
    <col min="15666" max="15666" width="4.625" style="1" customWidth="1"/>
    <col min="15667" max="15674" width="5.625" style="1" customWidth="1"/>
    <col min="15675" max="15675" width="4.125" style="1" customWidth="1"/>
    <col min="15676" max="15680" width="3.625" style="1" customWidth="1"/>
    <col min="15681" max="15681" width="2.125" style="1" customWidth="1"/>
    <col min="15682" max="15682" width="5" style="1" customWidth="1"/>
    <col min="15683" max="15683" width="6" style="1" customWidth="1"/>
    <col min="15684" max="15684" width="2.125" style="1" customWidth="1"/>
    <col min="15685" max="15685" width="5.625" style="1" customWidth="1"/>
    <col min="15686" max="15686" width="2.125" style="1" customWidth="1"/>
    <col min="15687" max="15687" width="5.625" style="1" customWidth="1"/>
    <col min="15688" max="15688" width="3.25" style="1" customWidth="1"/>
    <col min="15689" max="15691" width="3.625" style="1" customWidth="1"/>
    <col min="15692" max="15694" width="6.625" style="1" customWidth="1"/>
    <col min="15695" max="15872" width="9" style="1"/>
    <col min="15873" max="15881" width="5.625" style="1" customWidth="1"/>
    <col min="15882" max="15882" width="1.625" style="1" customWidth="1"/>
    <col min="15883" max="15883" width="4.625" style="1" customWidth="1"/>
    <col min="15884" max="15891" width="5.625" style="1" customWidth="1"/>
    <col min="15892" max="15892" width="4.125" style="1" customWidth="1"/>
    <col min="15893" max="15897" width="3.625" style="1" customWidth="1"/>
    <col min="15898" max="15898" width="2.125" style="1" customWidth="1"/>
    <col min="15899" max="15899" width="5" style="1" customWidth="1"/>
    <col min="15900" max="15900" width="6" style="1" customWidth="1"/>
    <col min="15901" max="15901" width="2.125" style="1" customWidth="1"/>
    <col min="15902" max="15902" width="5.625" style="1" customWidth="1"/>
    <col min="15903" max="15903" width="2.125" style="1" customWidth="1"/>
    <col min="15904" max="15904" width="5.625" style="1" customWidth="1"/>
    <col min="15905" max="15905" width="3.25" style="1" customWidth="1"/>
    <col min="15906" max="15908" width="3.625" style="1" customWidth="1"/>
    <col min="15909" max="15911" width="6.625" style="1" customWidth="1"/>
    <col min="15912" max="15920" width="5.625" style="1" customWidth="1"/>
    <col min="15921" max="15921" width="1.625" style="1" customWidth="1"/>
    <col min="15922" max="15922" width="4.625" style="1" customWidth="1"/>
    <col min="15923" max="15930" width="5.625" style="1" customWidth="1"/>
    <col min="15931" max="15931" width="4.125" style="1" customWidth="1"/>
    <col min="15932" max="15936" width="3.625" style="1" customWidth="1"/>
    <col min="15937" max="15937" width="2.125" style="1" customWidth="1"/>
    <col min="15938" max="15938" width="5" style="1" customWidth="1"/>
    <col min="15939" max="15939" width="6" style="1" customWidth="1"/>
    <col min="15940" max="15940" width="2.125" style="1" customWidth="1"/>
    <col min="15941" max="15941" width="5.625" style="1" customWidth="1"/>
    <col min="15942" max="15942" width="2.125" style="1" customWidth="1"/>
    <col min="15943" max="15943" width="5.625" style="1" customWidth="1"/>
    <col min="15944" max="15944" width="3.25" style="1" customWidth="1"/>
    <col min="15945" max="15947" width="3.625" style="1" customWidth="1"/>
    <col min="15948" max="15950" width="6.625" style="1" customWidth="1"/>
    <col min="15951" max="16128" width="9" style="1"/>
    <col min="16129" max="16137" width="5.625" style="1" customWidth="1"/>
    <col min="16138" max="16138" width="1.625" style="1" customWidth="1"/>
    <col min="16139" max="16139" width="4.625" style="1" customWidth="1"/>
    <col min="16140" max="16147" width="5.625" style="1" customWidth="1"/>
    <col min="16148" max="16148" width="4.125" style="1" customWidth="1"/>
    <col min="16149" max="16153" width="3.625" style="1" customWidth="1"/>
    <col min="16154" max="16154" width="2.125" style="1" customWidth="1"/>
    <col min="16155" max="16155" width="5" style="1" customWidth="1"/>
    <col min="16156" max="16156" width="6" style="1" customWidth="1"/>
    <col min="16157" max="16157" width="2.125" style="1" customWidth="1"/>
    <col min="16158" max="16158" width="5.625" style="1" customWidth="1"/>
    <col min="16159" max="16159" width="2.125" style="1" customWidth="1"/>
    <col min="16160" max="16160" width="5.625" style="1" customWidth="1"/>
    <col min="16161" max="16161" width="3.25" style="1" customWidth="1"/>
    <col min="16162" max="16164" width="3.625" style="1" customWidth="1"/>
    <col min="16165" max="16167" width="6.625" style="1" customWidth="1"/>
    <col min="16168" max="16176" width="5.625" style="1" customWidth="1"/>
    <col min="16177" max="16177" width="1.625" style="1" customWidth="1"/>
    <col min="16178" max="16178" width="4.625" style="1" customWidth="1"/>
    <col min="16179" max="16186" width="5.625" style="1" customWidth="1"/>
    <col min="16187" max="16187" width="4.125" style="1" customWidth="1"/>
    <col min="16188" max="16192" width="3.625" style="1" customWidth="1"/>
    <col min="16193" max="16193" width="2.125" style="1" customWidth="1"/>
    <col min="16194" max="16194" width="5" style="1" customWidth="1"/>
    <col min="16195" max="16195" width="6" style="1" customWidth="1"/>
    <col min="16196" max="16196" width="2.125" style="1" customWidth="1"/>
    <col min="16197" max="16197" width="5.625" style="1" customWidth="1"/>
    <col min="16198" max="16198" width="2.125" style="1" customWidth="1"/>
    <col min="16199" max="16199" width="5.625" style="1" customWidth="1"/>
    <col min="16200" max="16200" width="3.25" style="1" customWidth="1"/>
    <col min="16201" max="16203" width="3.625" style="1" customWidth="1"/>
    <col min="16204" max="16206" width="6.625" style="1" customWidth="1"/>
    <col min="16207" max="16384" width="9" style="1"/>
  </cols>
  <sheetData>
    <row r="1" spans="1:78" ht="9.75" customHeight="1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1"/>
      <c r="AL1" s="151"/>
      <c r="AM1" s="152"/>
      <c r="AN1" s="149" t="s">
        <v>0</v>
      </c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1"/>
      <c r="BY1" s="151"/>
      <c r="BZ1" s="152"/>
    </row>
    <row r="2" spans="1:78" ht="16.5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5"/>
      <c r="AL2" s="155"/>
      <c r="AM2" s="156"/>
      <c r="AN2" s="153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5"/>
      <c r="BY2" s="155"/>
      <c r="BZ2" s="156"/>
    </row>
    <row r="3" spans="1:78" ht="9.75" customHeight="1" thickBot="1">
      <c r="A3" s="153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5"/>
      <c r="AL3" s="155"/>
      <c r="AM3" s="156"/>
      <c r="AN3" s="153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5"/>
      <c r="BY3" s="155"/>
      <c r="BZ3" s="156"/>
    </row>
    <row r="4" spans="1:78" s="2" customFormat="1" ht="19.5" customHeight="1">
      <c r="A4" s="157" t="s">
        <v>1</v>
      </c>
      <c r="B4" s="158"/>
      <c r="C4" s="158"/>
      <c r="D4" s="158"/>
      <c r="E4" s="158"/>
      <c r="F4" s="158"/>
      <c r="G4" s="159"/>
      <c r="H4" s="160" t="s">
        <v>144</v>
      </c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2"/>
      <c r="T4" s="163" t="s">
        <v>2</v>
      </c>
      <c r="U4" s="161"/>
      <c r="V4" s="161"/>
      <c r="W4" s="161"/>
      <c r="X4" s="164"/>
      <c r="Y4" s="165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4"/>
      <c r="AK4" s="166" t="s">
        <v>3</v>
      </c>
      <c r="AL4" s="167"/>
      <c r="AM4" s="168"/>
      <c r="AN4" s="157" t="s">
        <v>1</v>
      </c>
      <c r="AO4" s="158"/>
      <c r="AP4" s="158"/>
      <c r="AQ4" s="158"/>
      <c r="AR4" s="158"/>
      <c r="AS4" s="158"/>
      <c r="AT4" s="159"/>
      <c r="AU4" s="160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2"/>
      <c r="BG4" s="163" t="s">
        <v>2</v>
      </c>
      <c r="BH4" s="161"/>
      <c r="BI4" s="161"/>
      <c r="BJ4" s="161"/>
      <c r="BK4" s="164"/>
      <c r="BL4" s="165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4"/>
      <c r="BX4" s="166" t="s">
        <v>3</v>
      </c>
      <c r="BY4" s="167"/>
      <c r="BZ4" s="168"/>
    </row>
    <row r="5" spans="1:78" s="2" customFormat="1" ht="38.25" customHeight="1" thickBot="1">
      <c r="A5" s="169" t="s">
        <v>4</v>
      </c>
      <c r="B5" s="170"/>
      <c r="C5" s="170"/>
      <c r="D5" s="170"/>
      <c r="E5" s="170"/>
      <c r="F5" s="170"/>
      <c r="G5" s="171"/>
      <c r="H5" s="172" t="s">
        <v>132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4"/>
      <c r="T5" s="175" t="s">
        <v>5</v>
      </c>
      <c r="U5" s="176"/>
      <c r="V5" s="176"/>
      <c r="W5" s="176"/>
      <c r="X5" s="177"/>
      <c r="Y5" s="178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7"/>
      <c r="AK5" s="3">
        <v>1</v>
      </c>
      <c r="AL5" s="4" t="s">
        <v>6</v>
      </c>
      <c r="AM5" s="5">
        <v>2</v>
      </c>
      <c r="AN5" s="169" t="s">
        <v>7</v>
      </c>
      <c r="AO5" s="170"/>
      <c r="AP5" s="170"/>
      <c r="AQ5" s="170"/>
      <c r="AR5" s="170"/>
      <c r="AS5" s="170"/>
      <c r="AT5" s="171"/>
      <c r="AU5" s="179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80"/>
      <c r="BG5" s="175" t="s">
        <v>5</v>
      </c>
      <c r="BH5" s="176"/>
      <c r="BI5" s="176"/>
      <c r="BJ5" s="176"/>
      <c r="BK5" s="177"/>
      <c r="BL5" s="178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7"/>
      <c r="BX5" s="190" t="s">
        <v>8</v>
      </c>
      <c r="BY5" s="191"/>
      <c r="BZ5" s="192"/>
    </row>
    <row r="6" spans="1:78" ht="15.95" customHeight="1">
      <c r="A6" s="6" t="s">
        <v>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7"/>
      <c r="T6" s="126"/>
      <c r="U6" s="126" t="s">
        <v>10</v>
      </c>
      <c r="V6" s="126"/>
      <c r="W6" s="126"/>
      <c r="Y6" s="193">
        <f>R44</f>
        <v>666.01764256103615</v>
      </c>
      <c r="Z6" s="193"/>
      <c r="AA6" s="126" t="s">
        <v>11</v>
      </c>
      <c r="AB6" s="126"/>
      <c r="AC6" s="126"/>
      <c r="AD6" s="126"/>
      <c r="AE6" s="7"/>
      <c r="AF6" s="8"/>
      <c r="AG6" s="9"/>
      <c r="AH6" s="8"/>
      <c r="AI6" s="126"/>
      <c r="AJ6" s="127"/>
      <c r="AK6" s="194" t="s">
        <v>12</v>
      </c>
      <c r="AL6" s="195"/>
      <c r="AM6" s="127"/>
      <c r="AN6" s="6" t="s">
        <v>9</v>
      </c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7"/>
      <c r="BG6" s="126"/>
      <c r="BH6" s="126" t="s">
        <v>10</v>
      </c>
      <c r="BI6" s="126"/>
      <c r="BJ6" s="126"/>
      <c r="BL6" s="196">
        <f>BE44</f>
        <v>18.859519411966353</v>
      </c>
      <c r="BM6" s="196"/>
      <c r="BN6" s="126" t="s">
        <v>13</v>
      </c>
      <c r="BO6" s="126"/>
      <c r="BP6" s="126"/>
      <c r="BQ6" s="126"/>
      <c r="BR6" s="7"/>
      <c r="BS6" s="8"/>
      <c r="BT6" s="9"/>
      <c r="BU6" s="8"/>
      <c r="BV6" s="126"/>
      <c r="BW6" s="127"/>
      <c r="BX6" s="194" t="s">
        <v>12</v>
      </c>
      <c r="BY6" s="195"/>
      <c r="BZ6" s="127"/>
    </row>
    <row r="7" spans="1:78" ht="15.95" customHeight="1">
      <c r="A7" s="10"/>
      <c r="B7" s="11" t="s">
        <v>14</v>
      </c>
      <c r="C7" s="128"/>
      <c r="D7" s="128"/>
      <c r="E7" s="128"/>
      <c r="F7" s="128"/>
      <c r="G7" s="128"/>
      <c r="H7" s="128" t="s">
        <v>15</v>
      </c>
      <c r="I7" s="128"/>
      <c r="J7" s="128"/>
      <c r="K7" s="454">
        <f>8.8*14.5+14.7</f>
        <v>142.30000000000001</v>
      </c>
      <c r="L7" s="455"/>
      <c r="M7" s="455"/>
      <c r="N7" s="455"/>
      <c r="O7" s="455"/>
      <c r="P7" s="455"/>
      <c r="Q7" s="455"/>
      <c r="R7" s="455"/>
      <c r="S7" s="456"/>
      <c r="T7" s="128"/>
      <c r="U7" s="128"/>
      <c r="V7" s="128"/>
      <c r="W7" s="128"/>
      <c r="X7" s="12"/>
      <c r="Y7" s="12"/>
      <c r="Z7" s="128"/>
      <c r="AA7" s="128"/>
      <c r="AB7" s="128"/>
      <c r="AC7" s="128"/>
      <c r="AD7" s="128"/>
      <c r="AE7" s="13"/>
      <c r="AF7" s="14"/>
      <c r="AG7" s="15"/>
      <c r="AH7" s="14"/>
      <c r="AI7" s="128"/>
      <c r="AJ7" s="129"/>
      <c r="AK7" s="16"/>
      <c r="AL7" s="128"/>
      <c r="AM7" s="129"/>
      <c r="AN7" s="10"/>
      <c r="AO7" s="11" t="s">
        <v>14</v>
      </c>
      <c r="AP7" s="128"/>
      <c r="AQ7" s="128"/>
      <c r="AR7" s="128"/>
      <c r="AS7" s="128"/>
      <c r="AT7" s="128"/>
      <c r="AU7" s="128" t="s">
        <v>16</v>
      </c>
      <c r="AV7" s="128"/>
      <c r="AW7" s="128"/>
      <c r="AX7" s="197"/>
      <c r="AY7" s="198"/>
      <c r="AZ7" s="198"/>
      <c r="BA7" s="198"/>
      <c r="BB7" s="198"/>
      <c r="BC7" s="198"/>
      <c r="BD7" s="198"/>
      <c r="BE7" s="198"/>
      <c r="BF7" s="199"/>
      <c r="BG7" s="128"/>
      <c r="BH7" s="128"/>
      <c r="BI7" s="128"/>
      <c r="BJ7" s="128"/>
      <c r="BK7" s="12"/>
      <c r="BL7" s="12"/>
      <c r="BM7" s="128"/>
      <c r="BN7" s="128"/>
      <c r="BO7" s="128"/>
      <c r="BP7" s="128"/>
      <c r="BQ7" s="128"/>
      <c r="BR7" s="13"/>
      <c r="BS7" s="14"/>
      <c r="BT7" s="15"/>
      <c r="BU7" s="14"/>
      <c r="BV7" s="128"/>
      <c r="BW7" s="129"/>
      <c r="BX7" s="16"/>
      <c r="BY7" s="128"/>
      <c r="BZ7" s="129"/>
    </row>
    <row r="8" spans="1:78" ht="15.95" customHeight="1">
      <c r="A8" s="17"/>
      <c r="B8" s="11" t="s">
        <v>17</v>
      </c>
      <c r="C8" s="128"/>
      <c r="D8" s="128"/>
      <c r="E8" s="128"/>
      <c r="F8" s="128"/>
      <c r="G8" s="128"/>
      <c r="H8" s="18" t="s">
        <v>18</v>
      </c>
      <c r="I8" s="128"/>
      <c r="J8" s="128"/>
      <c r="K8" s="451">
        <f>179*9/5+32</f>
        <v>354.2</v>
      </c>
      <c r="L8" s="452"/>
      <c r="M8" s="452"/>
      <c r="N8" s="452"/>
      <c r="O8" s="452"/>
      <c r="P8" s="452"/>
      <c r="Q8" s="452"/>
      <c r="R8" s="452"/>
      <c r="S8" s="453"/>
      <c r="T8" s="128"/>
      <c r="U8" s="19">
        <f>R19</f>
        <v>16</v>
      </c>
      <c r="V8" s="13" t="s">
        <v>19</v>
      </c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1"/>
      <c r="AH8" s="128"/>
      <c r="AI8" s="128"/>
      <c r="AJ8" s="129"/>
      <c r="AK8" s="20"/>
      <c r="AL8" s="128"/>
      <c r="AM8" s="129"/>
      <c r="AN8" s="17"/>
      <c r="AO8" s="11" t="s">
        <v>17</v>
      </c>
      <c r="AP8" s="128"/>
      <c r="AQ8" s="128"/>
      <c r="AR8" s="128"/>
      <c r="AS8" s="128"/>
      <c r="AT8" s="128"/>
      <c r="AU8" s="18" t="s">
        <v>20</v>
      </c>
      <c r="AV8" s="128"/>
      <c r="AW8" s="128"/>
      <c r="AX8" s="181"/>
      <c r="AY8" s="182"/>
      <c r="AZ8" s="182"/>
      <c r="BA8" s="182"/>
      <c r="BB8" s="182"/>
      <c r="BC8" s="182"/>
      <c r="BD8" s="182"/>
      <c r="BE8" s="182"/>
      <c r="BF8" s="183"/>
      <c r="BG8" s="128"/>
      <c r="BH8" s="19">
        <f>BE19</f>
        <v>16</v>
      </c>
      <c r="BI8" s="13" t="s">
        <v>19</v>
      </c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1"/>
      <c r="BU8" s="128"/>
      <c r="BV8" s="128"/>
      <c r="BW8" s="129"/>
      <c r="BX8" s="21" t="s">
        <v>21</v>
      </c>
      <c r="BY8" s="128"/>
      <c r="BZ8" s="129"/>
    </row>
    <row r="9" spans="1:78" ht="15.95" customHeight="1">
      <c r="A9" s="17"/>
      <c r="B9" s="22"/>
      <c r="C9" s="128"/>
      <c r="D9" s="128"/>
      <c r="E9" s="128"/>
      <c r="F9" s="128"/>
      <c r="G9" s="128"/>
      <c r="H9" s="128"/>
      <c r="I9" s="128"/>
      <c r="J9" s="128"/>
      <c r="K9" s="184" t="s">
        <v>22</v>
      </c>
      <c r="L9" s="185"/>
      <c r="M9" s="186"/>
      <c r="N9" s="184" t="s">
        <v>23</v>
      </c>
      <c r="O9" s="185"/>
      <c r="P9" s="186"/>
      <c r="Q9" s="187" t="s">
        <v>24</v>
      </c>
      <c r="R9" s="188"/>
      <c r="S9" s="189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1"/>
      <c r="AH9" s="128"/>
      <c r="AI9" s="128"/>
      <c r="AJ9" s="129"/>
      <c r="AK9" s="20"/>
      <c r="AL9" s="128"/>
      <c r="AM9" s="129"/>
      <c r="AN9" s="17"/>
      <c r="AO9" s="22"/>
      <c r="AP9" s="128"/>
      <c r="AQ9" s="128"/>
      <c r="AR9" s="128"/>
      <c r="AS9" s="128"/>
      <c r="AT9" s="128"/>
      <c r="AU9" s="128"/>
      <c r="AV9" s="128"/>
      <c r="AW9" s="128"/>
      <c r="AX9" s="184" t="s">
        <v>22</v>
      </c>
      <c r="AY9" s="185"/>
      <c r="AZ9" s="186"/>
      <c r="BA9" s="184" t="s">
        <v>23</v>
      </c>
      <c r="BB9" s="185"/>
      <c r="BC9" s="186"/>
      <c r="BD9" s="187" t="s">
        <v>24</v>
      </c>
      <c r="BE9" s="188"/>
      <c r="BF9" s="189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1"/>
      <c r="BU9" s="128"/>
      <c r="BV9" s="128"/>
      <c r="BW9" s="129"/>
      <c r="BX9" s="16"/>
      <c r="BY9" s="128"/>
      <c r="BZ9" s="129"/>
    </row>
    <row r="10" spans="1:78" ht="15.95" customHeight="1">
      <c r="A10" s="17"/>
      <c r="B10" s="11" t="s">
        <v>25</v>
      </c>
      <c r="C10" s="128"/>
      <c r="D10" s="128"/>
      <c r="E10" s="128"/>
      <c r="F10" s="128"/>
      <c r="G10" s="128"/>
      <c r="H10" s="128" t="s">
        <v>26</v>
      </c>
      <c r="I10" s="128"/>
      <c r="J10" s="128"/>
      <c r="K10" s="200">
        <f>81.5813572142144*2.2*1000</f>
        <v>179478.9858712717</v>
      </c>
      <c r="L10" s="201"/>
      <c r="M10" s="202"/>
      <c r="N10" s="200">
        <f>0.781648679519044*2.2*1000</f>
        <v>1719.627094941897</v>
      </c>
      <c r="O10" s="201"/>
      <c r="P10" s="202"/>
      <c r="Q10" s="203">
        <f>K10*(K12/100+1)+N10*(N12/100+1)</f>
        <v>199318.47426283496</v>
      </c>
      <c r="R10" s="204"/>
      <c r="S10" s="205"/>
      <c r="T10" s="128"/>
      <c r="U10" s="221">
        <f>P34</f>
        <v>15</v>
      </c>
      <c r="V10" s="221"/>
      <c r="W10" s="128"/>
      <c r="X10" s="128"/>
      <c r="Y10" s="128"/>
      <c r="Z10" s="128"/>
      <c r="AA10" s="128"/>
      <c r="AC10" s="222">
        <f>P27</f>
        <v>8</v>
      </c>
      <c r="AD10" s="222"/>
      <c r="AE10" s="128"/>
      <c r="AF10" s="128"/>
      <c r="AG10" s="11"/>
      <c r="AH10" s="128"/>
      <c r="AI10" s="128"/>
      <c r="AJ10" s="129"/>
      <c r="AK10" s="20"/>
      <c r="AL10" s="128"/>
      <c r="AM10" s="129"/>
      <c r="AN10" s="17"/>
      <c r="AO10" s="11" t="s">
        <v>25</v>
      </c>
      <c r="AP10" s="128"/>
      <c r="AQ10" s="128"/>
      <c r="AR10" s="128"/>
      <c r="AS10" s="128"/>
      <c r="AT10" s="128"/>
      <c r="AU10" s="128" t="s">
        <v>27</v>
      </c>
      <c r="AV10" s="128"/>
      <c r="AW10" s="128"/>
      <c r="AX10" s="200">
        <f>K10*0.4535924</f>
        <v>81410.303950916219</v>
      </c>
      <c r="AY10" s="201"/>
      <c r="AZ10" s="202"/>
      <c r="BA10" s="200">
        <f>N10*0.4535924</f>
        <v>780.00978109972289</v>
      </c>
      <c r="BB10" s="201"/>
      <c r="BC10" s="202"/>
      <c r="BD10" s="203">
        <f>AX10*(AX12/100+1)+BA10*(BA12/100+1)</f>
        <v>90409.345105217537</v>
      </c>
      <c r="BE10" s="204"/>
      <c r="BF10" s="205"/>
      <c r="BG10" s="128"/>
      <c r="BH10" s="206">
        <f>BC34</f>
        <v>381</v>
      </c>
      <c r="BI10" s="206"/>
      <c r="BJ10" s="128"/>
      <c r="BK10" s="128"/>
      <c r="BL10" s="128"/>
      <c r="BM10" s="128"/>
      <c r="BN10" s="128"/>
      <c r="BP10" s="207">
        <f>BC27</f>
        <v>2438.4</v>
      </c>
      <c r="BQ10" s="207"/>
      <c r="BR10" s="128"/>
      <c r="BS10" s="128"/>
      <c r="BT10" s="11"/>
      <c r="BU10" s="128"/>
      <c r="BV10" s="128"/>
      <c r="BW10" s="129"/>
      <c r="BX10" s="16"/>
      <c r="BY10" s="128"/>
      <c r="BZ10" s="129"/>
    </row>
    <row r="11" spans="1:78" ht="15.95" customHeight="1">
      <c r="A11" s="17"/>
      <c r="B11" s="11" t="s">
        <v>28</v>
      </c>
      <c r="C11" s="128"/>
      <c r="D11" s="128"/>
      <c r="E11" s="128"/>
      <c r="F11" s="128"/>
      <c r="G11" s="128"/>
      <c r="H11" s="128" t="s">
        <v>29</v>
      </c>
      <c r="I11" s="128"/>
      <c r="J11" s="128"/>
      <c r="K11" s="467">
        <f>4.97962573764764*0.062</f>
        <v>0.30873679573415369</v>
      </c>
      <c r="L11" s="468"/>
      <c r="M11" s="469"/>
      <c r="N11" s="208">
        <f>875.81656601557*0.062</f>
        <v>54.300627092965335</v>
      </c>
      <c r="O11" s="209"/>
      <c r="P11" s="210"/>
      <c r="Q11" s="211">
        <f>(K10+N10)/(K13+N13)</f>
        <v>17.872065317379285</v>
      </c>
      <c r="R11" s="212"/>
      <c r="S11" s="213"/>
      <c r="T11" s="128"/>
      <c r="U11" s="221"/>
      <c r="V11" s="221"/>
      <c r="W11" s="128"/>
      <c r="X11" s="128"/>
      <c r="Y11" s="128"/>
      <c r="Z11" s="128"/>
      <c r="AA11" s="128"/>
      <c r="AB11" s="214"/>
      <c r="AC11" s="214"/>
      <c r="AD11" s="214"/>
      <c r="AE11" s="128"/>
      <c r="AF11" s="128"/>
      <c r="AG11" s="11"/>
      <c r="AH11" s="128"/>
      <c r="AI11" s="128"/>
      <c r="AJ11" s="129"/>
      <c r="AK11" s="20"/>
      <c r="AL11" s="128"/>
      <c r="AM11" s="129"/>
      <c r="AN11" s="17"/>
      <c r="AO11" s="11" t="s">
        <v>28</v>
      </c>
      <c r="AP11" s="128"/>
      <c r="AQ11" s="128"/>
      <c r="AR11" s="128"/>
      <c r="AS11" s="128"/>
      <c r="AT11" s="128"/>
      <c r="AU11" s="128" t="s">
        <v>30</v>
      </c>
      <c r="AV11" s="128"/>
      <c r="AW11" s="128"/>
      <c r="AX11" s="215">
        <f>K11*0.4535924/0.0283168</f>
        <v>4.9454975189768806</v>
      </c>
      <c r="AY11" s="216"/>
      <c r="AZ11" s="217"/>
      <c r="BA11" s="218">
        <f>N11*0.4535924/0.0283168</f>
        <v>869.81409497553284</v>
      </c>
      <c r="BB11" s="219"/>
      <c r="BC11" s="220"/>
      <c r="BD11" s="211">
        <f>(AX10+BA10)/(AX13+BA13)</f>
        <v>4.5387358424347193</v>
      </c>
      <c r="BE11" s="212"/>
      <c r="BF11" s="213"/>
      <c r="BG11" s="128"/>
      <c r="BH11" s="206"/>
      <c r="BI11" s="206"/>
      <c r="BJ11" s="128"/>
      <c r="BK11" s="128"/>
      <c r="BL11" s="128"/>
      <c r="BM11" s="128"/>
      <c r="BN11" s="128"/>
      <c r="BO11" s="214"/>
      <c r="BP11" s="214"/>
      <c r="BQ11" s="214"/>
      <c r="BR11" s="128"/>
      <c r="BS11" s="128"/>
      <c r="BT11" s="11"/>
      <c r="BU11" s="128"/>
      <c r="BV11" s="128"/>
      <c r="BW11" s="129"/>
      <c r="BX11" s="16"/>
      <c r="BY11" s="128"/>
      <c r="BZ11" s="129"/>
    </row>
    <row r="12" spans="1:78" ht="15.95" customHeight="1">
      <c r="A12" s="17"/>
      <c r="B12" s="1" t="s">
        <v>31</v>
      </c>
      <c r="H12" s="1" t="s">
        <v>32</v>
      </c>
      <c r="K12" s="223">
        <v>10</v>
      </c>
      <c r="L12" s="224"/>
      <c r="M12" s="225"/>
      <c r="N12" s="226">
        <v>10</v>
      </c>
      <c r="O12" s="227"/>
      <c r="P12" s="228"/>
      <c r="Q12" s="229" t="s">
        <v>33</v>
      </c>
      <c r="R12" s="230"/>
      <c r="S12" s="231"/>
      <c r="T12" s="128"/>
      <c r="U12" s="221">
        <f>P35</f>
        <v>6</v>
      </c>
      <c r="V12" s="221"/>
      <c r="W12" s="128"/>
      <c r="X12" s="128"/>
      <c r="Y12" s="128"/>
      <c r="Z12" s="128"/>
      <c r="AA12" s="23"/>
      <c r="AB12" s="23"/>
      <c r="AC12" s="23"/>
      <c r="AD12" s="24"/>
      <c r="AE12" s="24"/>
      <c r="AF12" s="23"/>
      <c r="AG12" s="11"/>
      <c r="AH12" s="128"/>
      <c r="AI12" s="128"/>
      <c r="AJ12" s="129"/>
      <c r="AK12" s="20"/>
      <c r="AL12" s="128"/>
      <c r="AM12" s="129"/>
      <c r="AN12" s="17"/>
      <c r="AO12" s="1" t="s">
        <v>31</v>
      </c>
      <c r="AU12" s="1" t="s">
        <v>32</v>
      </c>
      <c r="AX12" s="223">
        <f>K12</f>
        <v>10</v>
      </c>
      <c r="AY12" s="224"/>
      <c r="AZ12" s="225"/>
      <c r="BA12" s="226">
        <f>N12</f>
        <v>10</v>
      </c>
      <c r="BB12" s="232"/>
      <c r="BC12" s="233"/>
      <c r="BD12" s="229" t="str">
        <f>Q12</f>
        <v>-</v>
      </c>
      <c r="BE12" s="230"/>
      <c r="BF12" s="231"/>
      <c r="BG12" s="128"/>
      <c r="BH12" s="206">
        <f>BC35</f>
        <v>152.4</v>
      </c>
      <c r="BI12" s="206"/>
      <c r="BJ12" s="128"/>
      <c r="BK12" s="128"/>
      <c r="BL12" s="128"/>
      <c r="BM12" s="128"/>
      <c r="BN12" s="23"/>
      <c r="BO12" s="23"/>
      <c r="BP12" s="23"/>
      <c r="BQ12" s="24"/>
      <c r="BR12" s="24"/>
      <c r="BS12" s="23"/>
      <c r="BT12" s="11"/>
      <c r="BU12" s="128"/>
      <c r="BV12" s="128"/>
      <c r="BW12" s="129"/>
      <c r="BX12" s="16"/>
      <c r="BY12" s="128"/>
      <c r="BZ12" s="129"/>
    </row>
    <row r="13" spans="1:78" ht="15.95" customHeight="1" thickBot="1">
      <c r="A13" s="25"/>
      <c r="B13" s="26" t="s">
        <v>34</v>
      </c>
      <c r="C13" s="27"/>
      <c r="D13" s="27"/>
      <c r="E13" s="27"/>
      <c r="F13" s="27"/>
      <c r="G13" s="27"/>
      <c r="H13" s="27" t="s">
        <v>35</v>
      </c>
      <c r="I13" s="27"/>
      <c r="J13" s="27"/>
      <c r="K13" s="242">
        <f>287.1*35.314</f>
        <v>10138.6494</v>
      </c>
      <c r="L13" s="243"/>
      <c r="M13" s="244"/>
      <c r="N13" s="245">
        <f>0.00001372*35.315</f>
        <v>4.8452180000000002E-4</v>
      </c>
      <c r="O13" s="246"/>
      <c r="P13" s="247"/>
      <c r="Q13" s="242">
        <f>K13+N13</f>
        <v>10138.649884521801</v>
      </c>
      <c r="R13" s="243"/>
      <c r="S13" s="248"/>
      <c r="T13" s="28"/>
      <c r="U13" s="128"/>
      <c r="V13" s="128"/>
      <c r="W13" s="128"/>
      <c r="X13" s="128"/>
      <c r="Y13" s="128"/>
      <c r="Z13" s="128"/>
      <c r="AA13" s="128"/>
      <c r="AB13" s="128"/>
      <c r="AC13" s="124"/>
      <c r="AD13" s="124"/>
      <c r="AE13" s="29"/>
      <c r="AF13" s="29"/>
      <c r="AG13" s="11"/>
      <c r="AH13" s="128"/>
      <c r="AI13" s="128"/>
      <c r="AJ13" s="129"/>
      <c r="AK13" s="16"/>
      <c r="AL13" s="128"/>
      <c r="AM13" s="129"/>
      <c r="AN13" s="25"/>
      <c r="AO13" s="26" t="s">
        <v>34</v>
      </c>
      <c r="AP13" s="27"/>
      <c r="AQ13" s="27"/>
      <c r="AR13" s="27"/>
      <c r="AS13" s="27"/>
      <c r="AT13" s="27"/>
      <c r="AU13" s="27" t="s">
        <v>36</v>
      </c>
      <c r="AV13" s="27"/>
      <c r="AW13" s="27"/>
      <c r="AX13" s="242">
        <f>AX10*(AX12/100+1)/AX11</f>
        <v>18107.64923091785</v>
      </c>
      <c r="AY13" s="243"/>
      <c r="AZ13" s="244"/>
      <c r="BA13" s="242">
        <f>BA10*(BA12/100+1)/BA11</f>
        <v>0.98643004771477105</v>
      </c>
      <c r="BB13" s="243"/>
      <c r="BC13" s="244"/>
      <c r="BD13" s="242">
        <f>SUM(AX13:BC13)</f>
        <v>18108.635660965567</v>
      </c>
      <c r="BE13" s="243"/>
      <c r="BF13" s="248"/>
      <c r="BG13" s="28"/>
      <c r="BH13" s="128"/>
      <c r="BI13" s="128"/>
      <c r="BJ13" s="128"/>
      <c r="BK13" s="128"/>
      <c r="BL13" s="128"/>
      <c r="BM13" s="128"/>
      <c r="BN13" s="128"/>
      <c r="BO13" s="128"/>
      <c r="BP13" s="124"/>
      <c r="BQ13" s="124"/>
      <c r="BR13" s="29"/>
      <c r="BS13" s="29"/>
      <c r="BT13" s="11"/>
      <c r="BU13" s="128"/>
      <c r="BV13" s="128"/>
      <c r="BW13" s="129"/>
      <c r="BX13" s="16"/>
      <c r="BY13" s="128"/>
      <c r="BZ13" s="129"/>
    </row>
    <row r="14" spans="1:78" ht="15.95" customHeight="1">
      <c r="A14" s="30" t="s">
        <v>37</v>
      </c>
      <c r="B14" s="31"/>
      <c r="C14" s="126"/>
      <c r="D14" s="126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1"/>
      <c r="T14" s="128"/>
      <c r="U14" s="221">
        <f>P37/2+P36</f>
        <v>48</v>
      </c>
      <c r="V14" s="221"/>
      <c r="W14" s="128"/>
      <c r="X14" s="32"/>
      <c r="Y14" s="128"/>
      <c r="Z14" s="128"/>
      <c r="AA14" s="128"/>
      <c r="AB14" s="128"/>
      <c r="AC14" s="234">
        <f>P28</f>
        <v>3.5338232920515993</v>
      </c>
      <c r="AD14" s="234"/>
      <c r="AE14" s="33" t="s">
        <v>38</v>
      </c>
      <c r="AF14" s="128"/>
      <c r="AG14" s="11"/>
      <c r="AH14" s="128"/>
      <c r="AI14" s="128"/>
      <c r="AJ14" s="129"/>
      <c r="AK14" s="16"/>
      <c r="AL14" s="128"/>
      <c r="AM14" s="129"/>
      <c r="AN14" s="30" t="s">
        <v>37</v>
      </c>
      <c r="AO14" s="31"/>
      <c r="AP14" s="126"/>
      <c r="AQ14" s="126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1"/>
      <c r="BG14" s="128"/>
      <c r="BH14" s="206">
        <f>BC37/2+BC36</f>
        <v>1219.2</v>
      </c>
      <c r="BI14" s="206"/>
      <c r="BJ14" s="128"/>
      <c r="BK14" s="32"/>
      <c r="BL14" s="128"/>
      <c r="BM14" s="128"/>
      <c r="BN14" s="128"/>
      <c r="BO14" s="128"/>
      <c r="BP14" s="235">
        <f>BC28</f>
        <v>1.0771093394173274</v>
      </c>
      <c r="BQ14" s="235"/>
      <c r="BR14" s="33" t="s">
        <v>38</v>
      </c>
      <c r="BS14" s="128"/>
      <c r="BT14" s="11"/>
      <c r="BU14" s="128"/>
      <c r="BV14" s="128"/>
      <c r="BW14" s="129"/>
      <c r="BX14" s="16"/>
      <c r="BY14" s="128"/>
      <c r="BZ14" s="129"/>
    </row>
    <row r="15" spans="1:78" ht="15.95" customHeight="1">
      <c r="A15" s="34"/>
      <c r="B15" s="22"/>
      <c r="C15" s="128"/>
      <c r="D15" s="35"/>
      <c r="E15" s="236" t="s">
        <v>39</v>
      </c>
      <c r="F15" s="237"/>
      <c r="G15" s="237"/>
      <c r="H15" s="238"/>
      <c r="I15" s="239" t="s">
        <v>40</v>
      </c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128"/>
      <c r="U15" s="221"/>
      <c r="V15" s="221"/>
      <c r="W15" s="128"/>
      <c r="X15" s="32"/>
      <c r="Y15" s="128"/>
      <c r="Z15" s="128"/>
      <c r="AA15" s="128"/>
      <c r="AB15" s="128"/>
      <c r="AC15" s="128"/>
      <c r="AD15" s="128"/>
      <c r="AE15" s="128"/>
      <c r="AF15" s="128"/>
      <c r="AG15" s="11"/>
      <c r="AH15" s="128"/>
      <c r="AI15" s="128"/>
      <c r="AJ15" s="129"/>
      <c r="AK15" s="16"/>
      <c r="AL15" s="128"/>
      <c r="AM15" s="129"/>
      <c r="AN15" s="34"/>
      <c r="AO15" s="22"/>
      <c r="AP15" s="128"/>
      <c r="AQ15" s="35"/>
      <c r="AR15" s="236" t="s">
        <v>39</v>
      </c>
      <c r="AS15" s="237"/>
      <c r="AT15" s="237"/>
      <c r="AU15" s="238"/>
      <c r="AV15" s="239" t="s">
        <v>40</v>
      </c>
      <c r="AW15" s="240"/>
      <c r="AX15" s="240"/>
      <c r="AY15" s="240"/>
      <c r="AZ15" s="240"/>
      <c r="BA15" s="240"/>
      <c r="BB15" s="240"/>
      <c r="BC15" s="240"/>
      <c r="BD15" s="240"/>
      <c r="BE15" s="240"/>
      <c r="BF15" s="241"/>
      <c r="BG15" s="128"/>
      <c r="BH15" s="206"/>
      <c r="BI15" s="206"/>
      <c r="BJ15" s="128"/>
      <c r="BK15" s="32"/>
      <c r="BL15" s="128"/>
      <c r="BM15" s="128"/>
      <c r="BN15" s="128"/>
      <c r="BO15" s="128"/>
      <c r="BP15" s="128"/>
      <c r="BQ15" s="128"/>
      <c r="BR15" s="128"/>
      <c r="BS15" s="128"/>
      <c r="BT15" s="11"/>
      <c r="BU15" s="128"/>
      <c r="BV15" s="128"/>
      <c r="BW15" s="129"/>
      <c r="BX15" s="16"/>
      <c r="BY15" s="128"/>
      <c r="BZ15" s="129"/>
    </row>
    <row r="16" spans="1:78" ht="15.95" customHeight="1">
      <c r="A16" s="36"/>
      <c r="B16" s="22"/>
      <c r="C16" s="128"/>
      <c r="D16" s="35"/>
      <c r="E16" s="262" t="s">
        <v>41</v>
      </c>
      <c r="F16" s="263"/>
      <c r="G16" s="262" t="s">
        <v>42</v>
      </c>
      <c r="H16" s="263"/>
      <c r="I16" s="249" t="s">
        <v>43</v>
      </c>
      <c r="J16" s="264"/>
      <c r="K16" s="250"/>
      <c r="L16" s="267" t="s">
        <v>44</v>
      </c>
      <c r="M16" s="268"/>
      <c r="N16" s="249" t="s">
        <v>45</v>
      </c>
      <c r="O16" s="250"/>
      <c r="P16" s="249" t="s">
        <v>46</v>
      </c>
      <c r="Q16" s="250"/>
      <c r="R16" s="260" t="s">
        <v>47</v>
      </c>
      <c r="S16" s="261"/>
      <c r="T16" s="37"/>
      <c r="U16" s="119"/>
      <c r="V16" s="119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1"/>
      <c r="AH16" s="128"/>
      <c r="AI16" s="128"/>
      <c r="AJ16" s="129"/>
      <c r="AK16" s="16"/>
      <c r="AL16" s="128"/>
      <c r="AM16" s="129"/>
      <c r="AN16" s="36"/>
      <c r="AO16" s="22"/>
      <c r="AP16" s="128"/>
      <c r="AQ16" s="35"/>
      <c r="AR16" s="262" t="s">
        <v>41</v>
      </c>
      <c r="AS16" s="263"/>
      <c r="AT16" s="262" t="s">
        <v>42</v>
      </c>
      <c r="AU16" s="263"/>
      <c r="AV16" s="249" t="s">
        <v>43</v>
      </c>
      <c r="AW16" s="264"/>
      <c r="AX16" s="250"/>
      <c r="AY16" s="265" t="s">
        <v>44</v>
      </c>
      <c r="AZ16" s="266"/>
      <c r="BA16" s="249" t="s">
        <v>45</v>
      </c>
      <c r="BB16" s="250"/>
      <c r="BC16" s="249" t="s">
        <v>46</v>
      </c>
      <c r="BD16" s="250"/>
      <c r="BE16" s="249" t="s">
        <v>47</v>
      </c>
      <c r="BF16" s="251"/>
      <c r="BG16" s="37"/>
      <c r="BH16" s="119"/>
      <c r="BI16" s="119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1"/>
      <c r="BU16" s="128"/>
      <c r="BV16" s="128"/>
      <c r="BW16" s="129"/>
      <c r="BX16" s="16"/>
      <c r="BY16" s="128"/>
      <c r="BZ16" s="129"/>
    </row>
    <row r="17" spans="1:80" ht="15.95" customHeight="1">
      <c r="A17" s="36"/>
      <c r="B17" s="22"/>
      <c r="C17" s="128"/>
      <c r="D17" s="35"/>
      <c r="E17" s="252" t="s">
        <v>48</v>
      </c>
      <c r="F17" s="253"/>
      <c r="G17" s="252" t="s">
        <v>49</v>
      </c>
      <c r="H17" s="253"/>
      <c r="I17" s="254" t="s">
        <v>50</v>
      </c>
      <c r="J17" s="255"/>
      <c r="K17" s="256"/>
      <c r="L17" s="254" t="s">
        <v>50</v>
      </c>
      <c r="M17" s="256"/>
      <c r="N17" s="252" t="s">
        <v>48</v>
      </c>
      <c r="O17" s="253"/>
      <c r="P17" s="257" t="s">
        <v>49</v>
      </c>
      <c r="Q17" s="258"/>
      <c r="R17" s="257" t="s">
        <v>50</v>
      </c>
      <c r="S17" s="259"/>
      <c r="T17" s="37"/>
      <c r="U17" s="128"/>
      <c r="V17" s="128"/>
      <c r="W17" s="38">
        <f>R18</f>
        <v>16</v>
      </c>
      <c r="X17" s="38" t="s">
        <v>51</v>
      </c>
      <c r="Y17" s="128"/>
      <c r="Z17" s="128"/>
      <c r="AA17" s="128"/>
      <c r="AB17" s="128"/>
      <c r="AC17" s="128"/>
      <c r="AD17" s="234">
        <f>P29</f>
        <v>4.6284770481702955</v>
      </c>
      <c r="AE17" s="234"/>
      <c r="AF17" s="234"/>
      <c r="AG17" s="11"/>
      <c r="AH17" s="128"/>
      <c r="AI17" s="128"/>
      <c r="AJ17" s="129"/>
      <c r="AK17" s="16"/>
      <c r="AL17" s="128"/>
      <c r="AM17" s="129"/>
      <c r="AN17" s="36"/>
      <c r="AO17" s="22"/>
      <c r="AP17" s="128"/>
      <c r="AQ17" s="35"/>
      <c r="AR17" s="252" t="s">
        <v>52</v>
      </c>
      <c r="AS17" s="253"/>
      <c r="AT17" s="252" t="s">
        <v>53</v>
      </c>
      <c r="AU17" s="253"/>
      <c r="AV17" s="39" t="s">
        <v>54</v>
      </c>
      <c r="AW17" s="284" t="s">
        <v>50</v>
      </c>
      <c r="AX17" s="285"/>
      <c r="AY17" s="40" t="s">
        <v>54</v>
      </c>
      <c r="AZ17" s="123" t="s">
        <v>50</v>
      </c>
      <c r="BA17" s="257" t="s">
        <v>52</v>
      </c>
      <c r="BB17" s="258"/>
      <c r="BC17" s="257" t="s">
        <v>53</v>
      </c>
      <c r="BD17" s="258"/>
      <c r="BE17" s="257" t="s">
        <v>50</v>
      </c>
      <c r="BF17" s="259"/>
      <c r="BG17" s="37"/>
      <c r="BH17" s="128"/>
      <c r="BI17" s="128"/>
      <c r="BJ17" s="38">
        <f>BE18</f>
        <v>16</v>
      </c>
      <c r="BK17" s="38" t="s">
        <v>51</v>
      </c>
      <c r="BL17" s="128"/>
      <c r="BM17" s="128"/>
      <c r="BN17" s="128"/>
      <c r="BO17" s="128"/>
      <c r="BP17" s="128"/>
      <c r="BQ17" s="235">
        <f>BC29</f>
        <v>1.4107598042823062</v>
      </c>
      <c r="BR17" s="235"/>
      <c r="BS17" s="235"/>
      <c r="BT17" s="11"/>
      <c r="BU17" s="128"/>
      <c r="BV17" s="128"/>
      <c r="BW17" s="129"/>
      <c r="BX17" s="16"/>
      <c r="BY17" s="128"/>
      <c r="BZ17" s="129"/>
    </row>
    <row r="18" spans="1:80" ht="15.95" customHeight="1">
      <c r="A18" s="36" t="s">
        <v>55</v>
      </c>
      <c r="B18" s="11" t="s">
        <v>56</v>
      </c>
      <c r="C18" s="128"/>
      <c r="D18" s="35"/>
      <c r="E18" s="269">
        <f>I56</f>
        <v>6705.6815410875406</v>
      </c>
      <c r="F18" s="270"/>
      <c r="G18" s="271" t="s">
        <v>33</v>
      </c>
      <c r="H18" s="272"/>
      <c r="I18" s="273">
        <f>AW18</f>
        <v>14.55034369056656</v>
      </c>
      <c r="J18" s="274"/>
      <c r="K18" s="275"/>
      <c r="L18" s="457">
        <v>16</v>
      </c>
      <c r="M18" s="458"/>
      <c r="N18" s="276">
        <f>BA18/0.4535924*0.3048</f>
        <v>4586.2317988120012</v>
      </c>
      <c r="O18" s="277"/>
      <c r="P18" s="278">
        <f>BC18/0.3048</f>
        <v>127.22456880611306</v>
      </c>
      <c r="Q18" s="279"/>
      <c r="R18" s="459">
        <v>16</v>
      </c>
      <c r="S18" s="460"/>
      <c r="T18" s="41"/>
      <c r="U18" s="128"/>
      <c r="V18" s="128"/>
      <c r="W18" s="14" t="s">
        <v>57</v>
      </c>
      <c r="X18" s="14"/>
      <c r="Y18" s="128"/>
      <c r="Z18" s="128"/>
      <c r="AA18" s="128"/>
      <c r="AB18" s="128"/>
      <c r="AC18" s="128"/>
      <c r="AD18" s="42" t="s">
        <v>58</v>
      </c>
      <c r="AE18" s="128"/>
      <c r="AF18" s="128"/>
      <c r="AG18" s="11"/>
      <c r="AH18" s="128"/>
      <c r="AI18" s="128"/>
      <c r="AJ18" s="129"/>
      <c r="AK18" s="16"/>
      <c r="AL18" s="128"/>
      <c r="AM18" s="129"/>
      <c r="AN18" s="36" t="s">
        <v>55</v>
      </c>
      <c r="AO18" s="11" t="s">
        <v>56</v>
      </c>
      <c r="AP18" s="128"/>
      <c r="AQ18" s="35"/>
      <c r="AR18" s="282">
        <f>E18*0.4535924/0.3048</f>
        <v>9979.1541465144219</v>
      </c>
      <c r="AS18" s="283"/>
      <c r="AT18" s="271" t="str">
        <f>G18</f>
        <v>-</v>
      </c>
      <c r="AU18" s="272"/>
      <c r="AV18" s="43">
        <f>(4/PI()*BD13/3600/((AR18/BD11)^0.5))^0.5*1000</f>
        <v>369.5787297403906</v>
      </c>
      <c r="AW18" s="286">
        <f>AV18/25.4</f>
        <v>14.55034369056656</v>
      </c>
      <c r="AX18" s="287"/>
      <c r="AY18" s="44">
        <f>AZ18*25.4</f>
        <v>406.4</v>
      </c>
      <c r="AZ18" s="45">
        <f>L18</f>
        <v>16</v>
      </c>
      <c r="BA18" s="276">
        <f>BD11*BC18^2</f>
        <v>6825.0652512449233</v>
      </c>
      <c r="BB18" s="277"/>
      <c r="BC18" s="278">
        <f>BD13/3600/(PI()*(AY18/1000)^2/4)</f>
        <v>38.778048572103259</v>
      </c>
      <c r="BD18" s="279"/>
      <c r="BE18" s="280">
        <f>R18</f>
        <v>16</v>
      </c>
      <c r="BF18" s="281"/>
      <c r="BG18" s="41"/>
      <c r="BH18" s="128"/>
      <c r="BI18" s="128"/>
      <c r="BJ18" s="14" t="s">
        <v>57</v>
      </c>
      <c r="BK18" s="14"/>
      <c r="BL18" s="128"/>
      <c r="BM18" s="128"/>
      <c r="BN18" s="128"/>
      <c r="BO18" s="128"/>
      <c r="BP18" s="128"/>
      <c r="BQ18" s="42" t="s">
        <v>58</v>
      </c>
      <c r="BR18" s="128"/>
      <c r="BS18" s="128"/>
      <c r="BT18" s="11"/>
      <c r="BU18" s="128"/>
      <c r="BV18" s="128"/>
      <c r="BW18" s="129"/>
      <c r="BX18" s="16"/>
      <c r="BY18" s="128"/>
      <c r="BZ18" s="129"/>
    </row>
    <row r="19" spans="1:80" ht="15.95" customHeight="1">
      <c r="A19" s="36" t="s">
        <v>55</v>
      </c>
      <c r="B19" s="11" t="s">
        <v>59</v>
      </c>
      <c r="C19" s="128"/>
      <c r="D19" s="35"/>
      <c r="E19" s="288">
        <v>2500</v>
      </c>
      <c r="F19" s="289"/>
      <c r="G19" s="290" t="s">
        <v>33</v>
      </c>
      <c r="H19" s="291"/>
      <c r="I19" s="292">
        <f>AW19</f>
        <v>19.024178933892319</v>
      </c>
      <c r="J19" s="293"/>
      <c r="K19" s="294"/>
      <c r="L19" s="461">
        <v>16</v>
      </c>
      <c r="M19" s="462"/>
      <c r="N19" s="295">
        <f>BA19/0.4535924*0.3048</f>
        <v>4996.7056500876815</v>
      </c>
      <c r="O19" s="296"/>
      <c r="P19" s="297">
        <f>BC19/0.3048</f>
        <v>127.21763851385758</v>
      </c>
      <c r="Q19" s="298"/>
      <c r="R19" s="459">
        <v>16</v>
      </c>
      <c r="S19" s="460"/>
      <c r="T19" s="41"/>
      <c r="U19" s="206"/>
      <c r="V19" s="206"/>
      <c r="W19" s="128"/>
      <c r="X19" s="128"/>
      <c r="Y19" s="128"/>
      <c r="Z19" s="128"/>
      <c r="AA19" s="46"/>
      <c r="AB19" s="128"/>
      <c r="AC19" s="47"/>
      <c r="AD19" s="128"/>
      <c r="AE19" s="128"/>
      <c r="AF19" s="128"/>
      <c r="AG19" s="11"/>
      <c r="AH19" s="48"/>
      <c r="AI19" s="48"/>
      <c r="AJ19" s="129"/>
      <c r="AK19" s="16"/>
      <c r="AL19" s="128"/>
      <c r="AM19" s="129"/>
      <c r="AN19" s="36" t="s">
        <v>55</v>
      </c>
      <c r="AO19" s="11" t="s">
        <v>59</v>
      </c>
      <c r="AP19" s="128"/>
      <c r="AQ19" s="35"/>
      <c r="AR19" s="320">
        <f>E19*0.4535924/0.3048</f>
        <v>3720.4101049868764</v>
      </c>
      <c r="AS19" s="321"/>
      <c r="AT19" s="290" t="str">
        <f>G19</f>
        <v>-</v>
      </c>
      <c r="AU19" s="291"/>
      <c r="AV19" s="43">
        <f>(4/PI()*AX13/3600/((AR19/AX11)^0.5))^0.5*1000</f>
        <v>483.2141449208649</v>
      </c>
      <c r="AW19" s="322">
        <f>AV19/25.4</f>
        <v>19.024178933892319</v>
      </c>
      <c r="AX19" s="323"/>
      <c r="AY19" s="44">
        <f>AZ19*25.4</f>
        <v>406.4</v>
      </c>
      <c r="AZ19" s="45">
        <f>L19</f>
        <v>16</v>
      </c>
      <c r="BA19" s="295">
        <f>AX11*BC19^2</f>
        <v>7435.9176768924917</v>
      </c>
      <c r="BB19" s="296"/>
      <c r="BC19" s="297">
        <f>AX13/3600/(PI()*(AY19/1000)^2/4)</f>
        <v>38.775936219023791</v>
      </c>
      <c r="BD19" s="298"/>
      <c r="BE19" s="308">
        <f>R19</f>
        <v>16</v>
      </c>
      <c r="BF19" s="309"/>
      <c r="BG19" s="41"/>
      <c r="BH19" s="206"/>
      <c r="BI19" s="206"/>
      <c r="BJ19" s="128"/>
      <c r="BK19" s="128"/>
      <c r="BL19" s="128"/>
      <c r="BM19" s="128"/>
      <c r="BN19" s="46"/>
      <c r="BO19" s="128"/>
      <c r="BP19" s="47"/>
      <c r="BQ19" s="128"/>
      <c r="BR19" s="128"/>
      <c r="BS19" s="128"/>
      <c r="BT19" s="11"/>
      <c r="BU19" s="48"/>
      <c r="BV19" s="48"/>
      <c r="BW19" s="129"/>
      <c r="BX19" s="16"/>
      <c r="BY19" s="128"/>
      <c r="BZ19" s="129"/>
    </row>
    <row r="20" spans="1:80" ht="15.95" customHeight="1" thickBot="1">
      <c r="A20" s="49" t="s">
        <v>55</v>
      </c>
      <c r="B20" s="26" t="s">
        <v>60</v>
      </c>
      <c r="C20" s="50"/>
      <c r="D20" s="51"/>
      <c r="E20" s="299" t="s">
        <v>33</v>
      </c>
      <c r="F20" s="300"/>
      <c r="G20" s="301">
        <f>I59</f>
        <v>3.9359999999999995</v>
      </c>
      <c r="H20" s="302"/>
      <c r="I20" s="303">
        <f>AW20</f>
        <v>0.67137971059710022</v>
      </c>
      <c r="J20" s="304"/>
      <c r="K20" s="305"/>
      <c r="L20" s="463">
        <v>3</v>
      </c>
      <c r="M20" s="464"/>
      <c r="N20" s="306" t="s">
        <v>33</v>
      </c>
      <c r="O20" s="307"/>
      <c r="P20" s="306">
        <f>BC20/0.3048</f>
        <v>0.19712831304383244</v>
      </c>
      <c r="Q20" s="307"/>
      <c r="R20" s="465">
        <v>3</v>
      </c>
      <c r="S20" s="466"/>
      <c r="T20" s="41"/>
      <c r="U20" s="206"/>
      <c r="V20" s="206"/>
      <c r="W20" s="128"/>
      <c r="X20" s="128"/>
      <c r="Y20" s="128"/>
      <c r="Z20" s="128"/>
      <c r="AA20" s="128"/>
      <c r="AB20" s="128"/>
      <c r="AC20" s="47"/>
      <c r="AD20" s="312" t="s">
        <v>61</v>
      </c>
      <c r="AE20" s="313"/>
      <c r="AF20" s="313"/>
      <c r="AG20" s="314"/>
      <c r="AH20" s="324">
        <f>P33</f>
        <v>10.583333333333334</v>
      </c>
      <c r="AI20" s="325"/>
      <c r="AJ20" s="326"/>
      <c r="AK20" s="16"/>
      <c r="AL20" s="128"/>
      <c r="AM20" s="129"/>
      <c r="AN20" s="49" t="s">
        <v>55</v>
      </c>
      <c r="AO20" s="26" t="s">
        <v>60</v>
      </c>
      <c r="AP20" s="50"/>
      <c r="AQ20" s="51"/>
      <c r="AR20" s="299" t="str">
        <f>E20</f>
        <v>-</v>
      </c>
      <c r="AS20" s="300"/>
      <c r="AT20" s="327">
        <f>G20*0.3048</f>
        <v>1.1996928</v>
      </c>
      <c r="AU20" s="328"/>
      <c r="AV20" s="52">
        <f>(4/PI()*(BA13/3600/AT20))^0.5*1000</f>
        <v>17.053044649166345</v>
      </c>
      <c r="AW20" s="329">
        <f>AV20/25.4</f>
        <v>0.67137971059710022</v>
      </c>
      <c r="AX20" s="330"/>
      <c r="AY20" s="44">
        <f>AZ20*25.4</f>
        <v>76.199999999999989</v>
      </c>
      <c r="AZ20" s="53">
        <f>L20</f>
        <v>3</v>
      </c>
      <c r="BA20" s="306" t="s">
        <v>33</v>
      </c>
      <c r="BB20" s="307"/>
      <c r="BC20" s="306">
        <f>BA13/3600/(PI()*(AY20/1000)^2/4)</f>
        <v>6.0084709815760133E-2</v>
      </c>
      <c r="BD20" s="307"/>
      <c r="BE20" s="310">
        <f>R20</f>
        <v>3</v>
      </c>
      <c r="BF20" s="311"/>
      <c r="BG20" s="41"/>
      <c r="BH20" s="206"/>
      <c r="BI20" s="206"/>
      <c r="BJ20" s="128"/>
      <c r="BK20" s="128"/>
      <c r="BL20" s="128"/>
      <c r="BM20" s="128"/>
      <c r="BN20" s="128"/>
      <c r="BO20" s="128"/>
      <c r="BP20" s="47"/>
      <c r="BQ20" s="312" t="s">
        <v>61</v>
      </c>
      <c r="BR20" s="313"/>
      <c r="BS20" s="313"/>
      <c r="BT20" s="314"/>
      <c r="BU20" s="315">
        <f>BC33</f>
        <v>3225.8000000000006</v>
      </c>
      <c r="BV20" s="206"/>
      <c r="BW20" s="129"/>
      <c r="BX20" s="16"/>
      <c r="BY20" s="128"/>
      <c r="BZ20" s="129"/>
    </row>
    <row r="21" spans="1:80" ht="15.95" customHeight="1">
      <c r="A21" s="30" t="s">
        <v>62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32"/>
      <c r="L21" s="130"/>
      <c r="M21" s="130"/>
      <c r="N21" s="130"/>
      <c r="O21" s="130"/>
      <c r="P21" s="130"/>
      <c r="Q21" s="130"/>
      <c r="R21" s="130"/>
      <c r="S21" s="131"/>
      <c r="T21" s="128"/>
      <c r="U21" s="128"/>
      <c r="V21" s="119"/>
      <c r="W21" s="128"/>
      <c r="X21" s="128"/>
      <c r="Y21" s="128"/>
      <c r="Z21" s="46" t="s">
        <v>63</v>
      </c>
      <c r="AA21" s="128"/>
      <c r="AB21" s="54">
        <f>R39</f>
        <v>36</v>
      </c>
      <c r="AC21" s="47"/>
      <c r="AD21" s="316" t="s">
        <v>64</v>
      </c>
      <c r="AE21" s="317"/>
      <c r="AF21" s="318" t="s">
        <v>65</v>
      </c>
      <c r="AG21" s="319"/>
      <c r="AH21" s="128"/>
      <c r="AI21" s="128"/>
      <c r="AJ21" s="55"/>
      <c r="AK21" s="16"/>
      <c r="AL21" s="128"/>
      <c r="AM21" s="129"/>
      <c r="AN21" s="30" t="s">
        <v>62</v>
      </c>
      <c r="AO21" s="126"/>
      <c r="AP21" s="126"/>
      <c r="AQ21" s="126"/>
      <c r="AR21" s="126"/>
      <c r="AS21" s="126"/>
      <c r="AT21" s="126"/>
      <c r="AU21" s="126"/>
      <c r="AV21" s="126"/>
      <c r="AW21" s="126"/>
      <c r="AX21" s="132"/>
      <c r="AY21" s="130"/>
      <c r="AZ21" s="130"/>
      <c r="BA21" s="130"/>
      <c r="BB21" s="130"/>
      <c r="BC21" s="130"/>
      <c r="BD21" s="130"/>
      <c r="BE21" s="130"/>
      <c r="BF21" s="131"/>
      <c r="BG21" s="128"/>
      <c r="BH21" s="128"/>
      <c r="BI21" s="119"/>
      <c r="BJ21" s="128"/>
      <c r="BK21" s="128"/>
      <c r="BL21" s="128"/>
      <c r="BM21" s="46" t="s">
        <v>63</v>
      </c>
      <c r="BN21" s="128"/>
      <c r="BO21" s="47">
        <f>IF(BC39&gt;10,BE39,"")</f>
        <v>914.4</v>
      </c>
      <c r="BP21" s="47"/>
      <c r="BQ21" s="316" t="s">
        <v>66</v>
      </c>
      <c r="BR21" s="317"/>
      <c r="BS21" s="318" t="s">
        <v>65</v>
      </c>
      <c r="BT21" s="319"/>
      <c r="BU21" s="128"/>
      <c r="BV21" s="128"/>
      <c r="BW21" s="55"/>
      <c r="BX21" s="16"/>
      <c r="BY21" s="128"/>
      <c r="BZ21" s="129"/>
    </row>
    <row r="22" spans="1:80" ht="15.95" customHeight="1">
      <c r="A22" s="34"/>
      <c r="B22" s="128"/>
      <c r="C22" s="128"/>
      <c r="D22" s="128"/>
      <c r="E22" s="128"/>
      <c r="F22" s="128"/>
      <c r="G22" s="128"/>
      <c r="H22" s="128"/>
      <c r="I22" s="128"/>
      <c r="J22" s="128"/>
      <c r="K22" s="56"/>
      <c r="L22" s="331" t="s">
        <v>67</v>
      </c>
      <c r="M22" s="331"/>
      <c r="N22" s="331"/>
      <c r="O22" s="331"/>
      <c r="P22" s="332" t="s">
        <v>68</v>
      </c>
      <c r="Q22" s="332"/>
      <c r="R22" s="332"/>
      <c r="S22" s="333"/>
      <c r="T22" s="128"/>
      <c r="U22" s="128"/>
      <c r="V22" s="119"/>
      <c r="W22" s="128"/>
      <c r="X22" s="128"/>
      <c r="Y22" s="128"/>
      <c r="Z22" s="46" t="s">
        <v>69</v>
      </c>
      <c r="AA22" s="57"/>
      <c r="AB22" s="54">
        <f>R40</f>
        <v>30</v>
      </c>
      <c r="AC22" s="47"/>
      <c r="AD22" s="334">
        <f>BQ22/0.3048^3</f>
        <v>25.132741228718338</v>
      </c>
      <c r="AE22" s="335"/>
      <c r="AF22" s="336">
        <f>BS22</f>
        <v>43.288217717542707</v>
      </c>
      <c r="AG22" s="337"/>
      <c r="AH22" s="128"/>
      <c r="AI22" s="128"/>
      <c r="AJ22" s="55"/>
      <c r="AK22" s="16"/>
      <c r="AL22" s="128"/>
      <c r="AM22" s="129"/>
      <c r="AN22" s="34"/>
      <c r="AO22" s="128"/>
      <c r="AP22" s="128"/>
      <c r="AQ22" s="128"/>
      <c r="AR22" s="128"/>
      <c r="AS22" s="128"/>
      <c r="AT22" s="128"/>
      <c r="AU22" s="128"/>
      <c r="AV22" s="128"/>
      <c r="AW22" s="128"/>
      <c r="AX22" s="56"/>
      <c r="AY22" s="331" t="s">
        <v>67</v>
      </c>
      <c r="AZ22" s="331"/>
      <c r="BA22" s="331"/>
      <c r="BB22" s="331"/>
      <c r="BC22" s="332" t="s">
        <v>68</v>
      </c>
      <c r="BD22" s="332"/>
      <c r="BE22" s="332"/>
      <c r="BF22" s="333"/>
      <c r="BG22" s="128"/>
      <c r="BH22" s="128"/>
      <c r="BI22" s="119"/>
      <c r="BJ22" s="128"/>
      <c r="BK22" s="128"/>
      <c r="BL22" s="128"/>
      <c r="BM22" s="46" t="s">
        <v>69</v>
      </c>
      <c r="BN22" s="57"/>
      <c r="BO22" s="47">
        <f>BE40</f>
        <v>762</v>
      </c>
      <c r="BP22" s="47"/>
      <c r="BQ22" s="334">
        <f>(BO21-BO22)/1000*(BC27/1000)^2*PI()/4</f>
        <v>0.71167997781005088</v>
      </c>
      <c r="BR22" s="335"/>
      <c r="BS22" s="336">
        <f>BQ22/BA13*60</f>
        <v>43.288217717542707</v>
      </c>
      <c r="BT22" s="337"/>
      <c r="BU22" s="128"/>
      <c r="BV22" s="128"/>
      <c r="BW22" s="55"/>
      <c r="BX22" s="16"/>
      <c r="BY22" s="128"/>
      <c r="BZ22" s="129"/>
    </row>
    <row r="23" spans="1:80" ht="15.95" customHeight="1">
      <c r="A23" s="34"/>
      <c r="B23" s="11" t="s">
        <v>70</v>
      </c>
      <c r="C23" s="128"/>
      <c r="D23" s="128"/>
      <c r="E23" s="128"/>
      <c r="F23" s="128"/>
      <c r="G23" s="128"/>
      <c r="H23" s="128"/>
      <c r="I23" s="128"/>
      <c r="J23" s="338" t="s">
        <v>71</v>
      </c>
      <c r="K23" s="339" t="s">
        <v>72</v>
      </c>
      <c r="L23" s="340" t="s">
        <v>73</v>
      </c>
      <c r="M23" s="340"/>
      <c r="N23" s="340"/>
      <c r="O23" s="340"/>
      <c r="P23" s="341">
        <v>0.35</v>
      </c>
      <c r="Q23" s="341"/>
      <c r="R23" s="341"/>
      <c r="S23" s="342"/>
      <c r="T23" s="128"/>
      <c r="U23" s="128"/>
      <c r="V23" s="128"/>
      <c r="W23" s="128"/>
      <c r="X23" s="128"/>
      <c r="Y23" s="128"/>
      <c r="Z23" s="46"/>
      <c r="AA23" s="58"/>
      <c r="AB23" s="59"/>
      <c r="AC23" s="47"/>
      <c r="AD23" s="343"/>
      <c r="AE23" s="344"/>
      <c r="AF23" s="345"/>
      <c r="AG23" s="346"/>
      <c r="AH23" s="128"/>
      <c r="AI23" s="128"/>
      <c r="AJ23" s="55"/>
      <c r="AK23" s="16"/>
      <c r="AL23" s="128"/>
      <c r="AM23" s="129"/>
      <c r="AN23" s="34"/>
      <c r="AO23" s="11" t="s">
        <v>70</v>
      </c>
      <c r="AP23" s="128"/>
      <c r="AQ23" s="128"/>
      <c r="AR23" s="128"/>
      <c r="AS23" s="128"/>
      <c r="AT23" s="128"/>
      <c r="AU23" s="128"/>
      <c r="AV23" s="128"/>
      <c r="AW23" s="338" t="s">
        <v>72</v>
      </c>
      <c r="AX23" s="339" t="s">
        <v>72</v>
      </c>
      <c r="AY23" s="347" t="s">
        <v>74</v>
      </c>
      <c r="AZ23" s="347"/>
      <c r="BA23" s="347"/>
      <c r="BB23" s="347"/>
      <c r="BC23" s="348">
        <f>P23*0.3048</f>
        <v>0.10668</v>
      </c>
      <c r="BD23" s="348"/>
      <c r="BE23" s="348"/>
      <c r="BF23" s="349"/>
      <c r="BG23" s="128"/>
      <c r="BH23" s="128"/>
      <c r="BI23" s="128"/>
      <c r="BJ23" s="128"/>
      <c r="BK23" s="128"/>
      <c r="BL23" s="128"/>
      <c r="BM23" s="46"/>
      <c r="BN23" s="58"/>
      <c r="BO23" s="60"/>
      <c r="BP23" s="47"/>
      <c r="BQ23" s="343"/>
      <c r="BR23" s="344"/>
      <c r="BS23" s="345"/>
      <c r="BT23" s="346"/>
      <c r="BU23" s="128"/>
      <c r="BV23" s="128"/>
      <c r="BW23" s="55"/>
      <c r="BX23" s="16"/>
      <c r="BY23" s="128"/>
      <c r="BZ23" s="129"/>
      <c r="CB23" s="1" t="s">
        <v>75</v>
      </c>
    </row>
    <row r="24" spans="1:80" ht="16.5" customHeight="1">
      <c r="A24" s="17"/>
      <c r="B24" s="61" t="s">
        <v>76</v>
      </c>
      <c r="C24" s="23"/>
      <c r="D24" s="23"/>
      <c r="E24" s="23"/>
      <c r="F24" s="23"/>
      <c r="G24" s="23"/>
      <c r="H24" s="23"/>
      <c r="I24" s="23"/>
      <c r="J24" s="338" t="s">
        <v>71</v>
      </c>
      <c r="K24" s="339" t="s">
        <v>72</v>
      </c>
      <c r="L24" s="340" t="s">
        <v>33</v>
      </c>
      <c r="M24" s="340"/>
      <c r="N24" s="340"/>
      <c r="O24" s="340"/>
      <c r="P24" s="340">
        <f>P23</f>
        <v>0.35</v>
      </c>
      <c r="Q24" s="340"/>
      <c r="R24" s="340"/>
      <c r="S24" s="361"/>
      <c r="T24" s="128"/>
      <c r="U24" s="221">
        <f>P33*12-SUM(U10:V15)</f>
        <v>58</v>
      </c>
      <c r="V24" s="221"/>
      <c r="W24" s="128"/>
      <c r="X24" s="128"/>
      <c r="Y24" s="128"/>
      <c r="Z24" s="128"/>
      <c r="AA24" s="11"/>
      <c r="AB24" s="59"/>
      <c r="AC24" s="47"/>
      <c r="AD24" s="343"/>
      <c r="AE24" s="344"/>
      <c r="AF24" s="345"/>
      <c r="AG24" s="346"/>
      <c r="AH24" s="128"/>
      <c r="AI24" s="128"/>
      <c r="AJ24" s="62"/>
      <c r="AK24" s="16"/>
      <c r="AL24" s="128"/>
      <c r="AM24" s="129"/>
      <c r="AN24" s="17"/>
      <c r="AO24" s="61" t="s">
        <v>76</v>
      </c>
      <c r="AP24" s="23"/>
      <c r="AQ24" s="23"/>
      <c r="AR24" s="23"/>
      <c r="AS24" s="23"/>
      <c r="AT24" s="23"/>
      <c r="AU24" s="23"/>
      <c r="AV24" s="23"/>
      <c r="AW24" s="338" t="s">
        <v>72</v>
      </c>
      <c r="AX24" s="339" t="s">
        <v>72</v>
      </c>
      <c r="AY24" s="347" t="s">
        <v>33</v>
      </c>
      <c r="AZ24" s="347"/>
      <c r="BA24" s="347"/>
      <c r="BB24" s="347"/>
      <c r="BC24" s="347">
        <f>BC23</f>
        <v>0.10668</v>
      </c>
      <c r="BD24" s="347"/>
      <c r="BE24" s="347"/>
      <c r="BF24" s="362"/>
      <c r="BG24" s="128"/>
      <c r="BH24" s="206">
        <f>BC33-SUM(BH10:BI15)</f>
        <v>1473.2000000000007</v>
      </c>
      <c r="BI24" s="350"/>
      <c r="BJ24" s="128"/>
      <c r="BK24" s="128"/>
      <c r="BL24" s="128"/>
      <c r="BM24" s="128"/>
      <c r="BN24" s="11"/>
      <c r="BO24" s="60"/>
      <c r="BP24" s="47"/>
      <c r="BQ24" s="343"/>
      <c r="BR24" s="344"/>
      <c r="BS24" s="345"/>
      <c r="BT24" s="346"/>
      <c r="BU24" s="128"/>
      <c r="BV24" s="128"/>
      <c r="BW24" s="62"/>
      <c r="BX24" s="16"/>
      <c r="BY24" s="128"/>
      <c r="BZ24" s="129"/>
    </row>
    <row r="25" spans="1:80" ht="15.95" customHeight="1">
      <c r="A25" s="63"/>
      <c r="B25" s="61" t="s">
        <v>77</v>
      </c>
      <c r="C25" s="23"/>
      <c r="D25" s="23"/>
      <c r="E25" s="23"/>
      <c r="F25" s="23"/>
      <c r="G25" s="23"/>
      <c r="H25" s="23"/>
      <c r="I25" s="23"/>
      <c r="J25" s="338" t="s">
        <v>32</v>
      </c>
      <c r="K25" s="339" t="s">
        <v>78</v>
      </c>
      <c r="L25" s="351" t="s">
        <v>79</v>
      </c>
      <c r="M25" s="352"/>
      <c r="N25" s="352"/>
      <c r="O25" s="353"/>
      <c r="P25" s="354">
        <v>10</v>
      </c>
      <c r="Q25" s="354"/>
      <c r="R25" s="354"/>
      <c r="S25" s="355"/>
      <c r="T25" s="128"/>
      <c r="U25" s="128"/>
      <c r="V25" s="119"/>
      <c r="W25" s="128"/>
      <c r="X25" s="128"/>
      <c r="Y25" s="128"/>
      <c r="Z25" s="46" t="s">
        <v>80</v>
      </c>
      <c r="AA25" s="57"/>
      <c r="AB25" s="54">
        <f>R41+P40/2</f>
        <v>24</v>
      </c>
      <c r="AC25" s="64"/>
      <c r="AD25" s="334">
        <f>BQ25/0.3048^3</f>
        <v>50.265482457436676</v>
      </c>
      <c r="AE25" s="335"/>
      <c r="AF25" s="336">
        <f>BS25</f>
        <v>86.576435435085415</v>
      </c>
      <c r="AG25" s="337"/>
      <c r="AH25" s="128"/>
      <c r="AI25" s="128"/>
      <c r="AJ25" s="129"/>
      <c r="AK25" s="16"/>
      <c r="AL25" s="128"/>
      <c r="AM25" s="129"/>
      <c r="AN25" s="63"/>
      <c r="AO25" s="61" t="s">
        <v>77</v>
      </c>
      <c r="AP25" s="23"/>
      <c r="AQ25" s="23"/>
      <c r="AR25" s="23"/>
      <c r="AS25" s="23"/>
      <c r="AT25" s="23"/>
      <c r="AU25" s="23"/>
      <c r="AV25" s="23"/>
      <c r="AW25" s="338" t="s">
        <v>32</v>
      </c>
      <c r="AX25" s="339" t="s">
        <v>78</v>
      </c>
      <c r="AY25" s="356" t="s">
        <v>79</v>
      </c>
      <c r="AZ25" s="357"/>
      <c r="BA25" s="357"/>
      <c r="BB25" s="358"/>
      <c r="BC25" s="359">
        <f>P25</f>
        <v>10</v>
      </c>
      <c r="BD25" s="359"/>
      <c r="BE25" s="359"/>
      <c r="BF25" s="360"/>
      <c r="BG25" s="128"/>
      <c r="BH25" s="128"/>
      <c r="BI25" s="119"/>
      <c r="BJ25" s="128"/>
      <c r="BK25" s="128"/>
      <c r="BL25" s="128"/>
      <c r="BM25" s="128"/>
      <c r="BN25" s="65"/>
      <c r="BO25" s="47"/>
      <c r="BP25" s="64"/>
      <c r="BQ25" s="334">
        <f>(BO22-BO28)/1000*(BC27/1000)^2*PI()/4</f>
        <v>1.4233599556201018</v>
      </c>
      <c r="BR25" s="335"/>
      <c r="BS25" s="336">
        <f>BQ25/BA13*60</f>
        <v>86.576435435085415</v>
      </c>
      <c r="BT25" s="337"/>
      <c r="BU25" s="128"/>
      <c r="BV25" s="128"/>
      <c r="BW25" s="129"/>
      <c r="BX25" s="16"/>
      <c r="BY25" s="128"/>
      <c r="BZ25" s="129"/>
    </row>
    <row r="26" spans="1:80" ht="15.95" customHeight="1">
      <c r="A26" s="17"/>
      <c r="B26" s="23" t="s">
        <v>81</v>
      </c>
      <c r="C26" s="23"/>
      <c r="D26" s="23"/>
      <c r="E26" s="23"/>
      <c r="F26" s="23"/>
      <c r="G26" s="23"/>
      <c r="H26" s="23"/>
      <c r="I26" s="23"/>
      <c r="J26" s="338" t="s">
        <v>82</v>
      </c>
      <c r="K26" s="339" t="s">
        <v>83</v>
      </c>
      <c r="L26" s="372">
        <f>AY26/1000/0.3048</f>
        <v>6.990260237507175</v>
      </c>
      <c r="M26" s="373"/>
      <c r="N26" s="373"/>
      <c r="O26" s="374"/>
      <c r="P26" s="373">
        <v>6.63</v>
      </c>
      <c r="Q26" s="373"/>
      <c r="R26" s="373"/>
      <c r="S26" s="381"/>
      <c r="T26" s="128"/>
      <c r="U26" s="128"/>
      <c r="V26" s="119"/>
      <c r="W26" s="128"/>
      <c r="X26" s="128"/>
      <c r="Y26" s="128"/>
      <c r="Z26" s="128"/>
      <c r="AA26" s="11"/>
      <c r="AB26" s="54"/>
      <c r="AC26" s="64"/>
      <c r="AD26" s="334"/>
      <c r="AE26" s="335"/>
      <c r="AF26" s="336"/>
      <c r="AG26" s="337"/>
      <c r="AH26" s="128"/>
      <c r="AI26" s="128"/>
      <c r="AJ26" s="129"/>
      <c r="AK26" s="16"/>
      <c r="AL26" s="128"/>
      <c r="AM26" s="129"/>
      <c r="AN26" s="17"/>
      <c r="AO26" s="23" t="s">
        <v>81</v>
      </c>
      <c r="AP26" s="23"/>
      <c r="AQ26" s="23"/>
      <c r="AR26" s="23"/>
      <c r="AS26" s="23"/>
      <c r="AT26" s="23"/>
      <c r="AU26" s="23"/>
      <c r="AV26" s="23"/>
      <c r="AW26" s="338" t="s">
        <v>84</v>
      </c>
      <c r="AX26" s="339" t="s">
        <v>83</v>
      </c>
      <c r="AY26" s="376">
        <f>(((AX13/3600/(BC24*((BA11-AX11)/AX11)^0.5)/(PI()/4))^0.5)*1000)</f>
        <v>2130.6313203921873</v>
      </c>
      <c r="AZ26" s="377"/>
      <c r="BA26" s="377"/>
      <c r="BB26" s="378"/>
      <c r="BC26" s="373" t="s">
        <v>33</v>
      </c>
      <c r="BD26" s="373"/>
      <c r="BE26" s="373"/>
      <c r="BF26" s="381"/>
      <c r="BG26" s="128"/>
      <c r="BH26" s="128"/>
      <c r="BI26" s="119"/>
      <c r="BJ26" s="128"/>
      <c r="BK26" s="128"/>
      <c r="BL26" s="128"/>
      <c r="BM26" s="128"/>
      <c r="BN26" s="11"/>
      <c r="BO26" s="47"/>
      <c r="BP26" s="64"/>
      <c r="BQ26" s="334"/>
      <c r="BR26" s="335"/>
      <c r="BS26" s="336"/>
      <c r="BT26" s="337"/>
      <c r="BU26" s="128"/>
      <c r="BV26" s="128"/>
      <c r="BW26" s="129"/>
      <c r="BX26" s="16"/>
      <c r="BY26" s="128"/>
      <c r="BZ26" s="129"/>
    </row>
    <row r="27" spans="1:80" ht="17.25" customHeight="1">
      <c r="A27" s="17"/>
      <c r="B27" s="11" t="s">
        <v>85</v>
      </c>
      <c r="C27" s="128"/>
      <c r="D27" s="128"/>
      <c r="E27" s="128"/>
      <c r="F27" s="128"/>
      <c r="G27" s="128"/>
      <c r="H27" s="128"/>
      <c r="I27" s="128"/>
      <c r="J27" s="338" t="s">
        <v>82</v>
      </c>
      <c r="K27" s="339" t="s">
        <v>83</v>
      </c>
      <c r="L27" s="372">
        <f>AY27/1000/0.3048</f>
        <v>7.6892862612578945</v>
      </c>
      <c r="M27" s="373"/>
      <c r="N27" s="373"/>
      <c r="O27" s="374"/>
      <c r="P27" s="369">
        <v>8</v>
      </c>
      <c r="Q27" s="370"/>
      <c r="R27" s="370"/>
      <c r="S27" s="371"/>
      <c r="T27" s="128"/>
      <c r="U27" s="375"/>
      <c r="V27" s="375"/>
      <c r="W27" s="128"/>
      <c r="X27" s="128"/>
      <c r="Y27" s="128"/>
      <c r="Z27" s="128"/>
      <c r="AA27" s="58"/>
      <c r="AB27" s="59"/>
      <c r="AC27" s="32"/>
      <c r="AD27" s="334"/>
      <c r="AE27" s="335"/>
      <c r="AF27" s="336"/>
      <c r="AG27" s="337"/>
      <c r="AH27" s="128"/>
      <c r="AI27" s="128"/>
      <c r="AJ27" s="129"/>
      <c r="AK27" s="16"/>
      <c r="AL27" s="128"/>
      <c r="AM27" s="129"/>
      <c r="AN27" s="17"/>
      <c r="AO27" s="11" t="s">
        <v>85</v>
      </c>
      <c r="AP27" s="128"/>
      <c r="AQ27" s="128"/>
      <c r="AR27" s="128"/>
      <c r="AS27" s="128"/>
      <c r="AT27" s="128"/>
      <c r="AU27" s="128"/>
      <c r="AV27" s="128"/>
      <c r="AW27" s="338" t="s">
        <v>84</v>
      </c>
      <c r="AX27" s="339" t="s">
        <v>83</v>
      </c>
      <c r="AY27" s="376">
        <f>(((AX13/3600/(BC24*((BA11-AX11)/AX11)^0.5)/(PI()/4))^0.5)*1000)*(BC25/100+1)</f>
        <v>2343.6944524314063</v>
      </c>
      <c r="AZ27" s="377"/>
      <c r="BA27" s="377"/>
      <c r="BB27" s="378"/>
      <c r="BC27" s="379">
        <f>P27*0.3048*1000</f>
        <v>2438.4</v>
      </c>
      <c r="BD27" s="379"/>
      <c r="BE27" s="379"/>
      <c r="BF27" s="380"/>
      <c r="BG27" s="128"/>
      <c r="BH27" s="375"/>
      <c r="BI27" s="375"/>
      <c r="BJ27" s="128"/>
      <c r="BK27" s="128"/>
      <c r="BL27" s="128"/>
      <c r="BM27" s="128"/>
      <c r="BN27" s="58"/>
      <c r="BO27" s="60"/>
      <c r="BP27" s="32"/>
      <c r="BQ27" s="334"/>
      <c r="BR27" s="335"/>
      <c r="BS27" s="336"/>
      <c r="BT27" s="337"/>
      <c r="BU27" s="128"/>
      <c r="BV27" s="128"/>
      <c r="BW27" s="129"/>
      <c r="BX27" s="16"/>
      <c r="BY27" s="128"/>
      <c r="BZ27" s="129"/>
    </row>
    <row r="28" spans="1:80" ht="17.25" customHeight="1">
      <c r="A28" s="17"/>
      <c r="B28" s="128" t="s">
        <v>86</v>
      </c>
      <c r="C28" s="128"/>
      <c r="D28" s="128"/>
      <c r="E28" s="128"/>
      <c r="F28" s="128"/>
      <c r="G28" s="128"/>
      <c r="H28" s="128"/>
      <c r="I28" s="128"/>
      <c r="J28" s="338" t="s">
        <v>71</v>
      </c>
      <c r="K28" s="339" t="s">
        <v>87</v>
      </c>
      <c r="L28" s="363">
        <f>AY28/0.3048</f>
        <v>3.8251876431159464</v>
      </c>
      <c r="M28" s="363"/>
      <c r="N28" s="363"/>
      <c r="O28" s="363"/>
      <c r="P28" s="363">
        <f>BC28/0.3048</f>
        <v>3.5338232920515993</v>
      </c>
      <c r="Q28" s="363"/>
      <c r="R28" s="363"/>
      <c r="S28" s="364"/>
      <c r="T28" s="128"/>
      <c r="U28" s="128"/>
      <c r="V28" s="128"/>
      <c r="W28" s="128"/>
      <c r="X28" s="128"/>
      <c r="Y28" s="128"/>
      <c r="Z28" s="46" t="s">
        <v>88</v>
      </c>
      <c r="AA28" s="128"/>
      <c r="AB28" s="54">
        <f>R41</f>
        <v>18</v>
      </c>
      <c r="AC28" s="128"/>
      <c r="AD28" s="365"/>
      <c r="AE28" s="366"/>
      <c r="AF28" s="367"/>
      <c r="AG28" s="368"/>
      <c r="AH28" s="128"/>
      <c r="AI28" s="128"/>
      <c r="AJ28" s="129"/>
      <c r="AK28" s="16"/>
      <c r="AL28" s="128"/>
      <c r="AM28" s="129"/>
      <c r="AN28" s="17"/>
      <c r="AO28" s="128" t="s">
        <v>86</v>
      </c>
      <c r="AP28" s="128"/>
      <c r="AQ28" s="128"/>
      <c r="AR28" s="128"/>
      <c r="AS28" s="128"/>
      <c r="AT28" s="128"/>
      <c r="AU28" s="128"/>
      <c r="AV28" s="128"/>
      <c r="AW28" s="338" t="s">
        <v>72</v>
      </c>
      <c r="AX28" s="339" t="s">
        <v>87</v>
      </c>
      <c r="AY28" s="363">
        <f>AX13/(PI()/4*(AY27/1000)^2*3600)</f>
        <v>1.1659171936217405</v>
      </c>
      <c r="AZ28" s="363"/>
      <c r="BA28" s="363"/>
      <c r="BB28" s="363"/>
      <c r="BC28" s="363">
        <f>AX13/(PI()/4*(BC27/1000)^2*3600)</f>
        <v>1.0771093394173274</v>
      </c>
      <c r="BD28" s="363"/>
      <c r="BE28" s="363"/>
      <c r="BF28" s="364"/>
      <c r="BG28" s="128"/>
      <c r="BH28" s="128"/>
      <c r="BI28" s="128"/>
      <c r="BJ28" s="128"/>
      <c r="BK28" s="128"/>
      <c r="BL28" s="128"/>
      <c r="BM28" s="46" t="s">
        <v>88</v>
      </c>
      <c r="BN28" s="128"/>
      <c r="BO28" s="47">
        <f>BE41</f>
        <v>457.20000000000005</v>
      </c>
      <c r="BP28" s="128"/>
      <c r="BQ28" s="365"/>
      <c r="BR28" s="366"/>
      <c r="BS28" s="367"/>
      <c r="BT28" s="368"/>
      <c r="BU28" s="128"/>
      <c r="BV28" s="128"/>
      <c r="BW28" s="129"/>
      <c r="BX28" s="16"/>
      <c r="BY28" s="128"/>
      <c r="BZ28" s="129"/>
    </row>
    <row r="29" spans="1:80" ht="15.95" customHeight="1">
      <c r="A29" s="17"/>
      <c r="B29" s="11" t="s">
        <v>89</v>
      </c>
      <c r="C29" s="128"/>
      <c r="D29" s="128"/>
      <c r="E29" s="128"/>
      <c r="F29" s="128"/>
      <c r="G29" s="128"/>
      <c r="H29" s="128"/>
      <c r="I29" s="128"/>
      <c r="J29" s="338" t="s">
        <v>71</v>
      </c>
      <c r="K29" s="339" t="s">
        <v>87</v>
      </c>
      <c r="L29" s="363">
        <f>AY29/0.3048</f>
        <v>4.6284770481702955</v>
      </c>
      <c r="M29" s="363"/>
      <c r="N29" s="363"/>
      <c r="O29" s="363"/>
      <c r="P29" s="363">
        <f>BC29/0.3048</f>
        <v>4.6284770481702955</v>
      </c>
      <c r="Q29" s="363"/>
      <c r="R29" s="363"/>
      <c r="S29" s="364"/>
      <c r="T29" s="128"/>
      <c r="U29" s="392"/>
      <c r="V29" s="392"/>
      <c r="W29" s="128"/>
      <c r="X29" s="128"/>
      <c r="Y29" s="128"/>
      <c r="Z29" s="46" t="s">
        <v>90</v>
      </c>
      <c r="AA29" s="128"/>
      <c r="AB29" s="54">
        <f>R42</f>
        <v>12</v>
      </c>
      <c r="AC29" s="128"/>
      <c r="AD29" s="334">
        <f>BQ29/0.3048^3</f>
        <v>25.132741228718345</v>
      </c>
      <c r="AE29" s="335"/>
      <c r="AF29" s="336">
        <f>BS29</f>
        <v>43.288217717542722</v>
      </c>
      <c r="AG29" s="337"/>
      <c r="AH29" s="128"/>
      <c r="AI29" s="128"/>
      <c r="AJ29" s="129"/>
      <c r="AK29" s="16"/>
      <c r="AL29" s="128"/>
      <c r="AM29" s="129"/>
      <c r="AN29" s="17"/>
      <c r="AO29" s="11" t="s">
        <v>89</v>
      </c>
      <c r="AP29" s="128"/>
      <c r="AQ29" s="128"/>
      <c r="AR29" s="128"/>
      <c r="AS29" s="128"/>
      <c r="AT29" s="128"/>
      <c r="AU29" s="128"/>
      <c r="AV29" s="128"/>
      <c r="AW29" s="338" t="s">
        <v>72</v>
      </c>
      <c r="AX29" s="339" t="s">
        <v>87</v>
      </c>
      <c r="AY29" s="363">
        <f>BC23*((BA11-AX11)/AX11)^0.5</f>
        <v>1.4107598042823062</v>
      </c>
      <c r="AZ29" s="363"/>
      <c r="BA29" s="363"/>
      <c r="BB29" s="363"/>
      <c r="BC29" s="363">
        <f>BC23*((BA11-AX11)/AX11)^0.5</f>
        <v>1.4107598042823062</v>
      </c>
      <c r="BD29" s="363"/>
      <c r="BE29" s="363"/>
      <c r="BF29" s="364"/>
      <c r="BG29" s="128"/>
      <c r="BH29" s="392"/>
      <c r="BI29" s="392"/>
      <c r="BJ29" s="128"/>
      <c r="BK29" s="128"/>
      <c r="BL29" s="128"/>
      <c r="BM29" s="46" t="s">
        <v>90</v>
      </c>
      <c r="BN29" s="128"/>
      <c r="BO29" s="47">
        <f>IF(BC41&gt;10,BE42,"")</f>
        <v>304.8</v>
      </c>
      <c r="BP29" s="128"/>
      <c r="BQ29" s="334">
        <f>(BO28-BO29)/1000*(BC27/1000)^2*PI()/4</f>
        <v>0.7116799778100511</v>
      </c>
      <c r="BR29" s="335"/>
      <c r="BS29" s="336">
        <f>BQ29/BA13*60</f>
        <v>43.288217717542722</v>
      </c>
      <c r="BT29" s="337"/>
      <c r="BU29" s="128"/>
      <c r="BV29" s="128"/>
      <c r="BW29" s="129"/>
      <c r="BX29" s="16"/>
      <c r="BY29" s="128"/>
      <c r="BZ29" s="129"/>
    </row>
    <row r="30" spans="1:80" ht="15.95" customHeight="1" thickBot="1">
      <c r="A30" s="25"/>
      <c r="B30" s="27" t="s">
        <v>91</v>
      </c>
      <c r="C30" s="27"/>
      <c r="D30" s="27"/>
      <c r="E30" s="27"/>
      <c r="F30" s="27"/>
      <c r="G30" s="27"/>
      <c r="H30" s="27"/>
      <c r="I30" s="27"/>
      <c r="J30" s="338" t="s">
        <v>82</v>
      </c>
      <c r="K30" s="339" t="s">
        <v>84</v>
      </c>
      <c r="L30" s="382">
        <f>AY30/1000/0.3048</f>
        <v>6.990260237507175</v>
      </c>
      <c r="M30" s="383"/>
      <c r="N30" s="383"/>
      <c r="O30" s="383"/>
      <c r="P30" s="382">
        <f>BC30/1000/0.3048</f>
        <v>8</v>
      </c>
      <c r="Q30" s="383"/>
      <c r="R30" s="383"/>
      <c r="S30" s="384"/>
      <c r="T30" s="128"/>
      <c r="U30" s="392"/>
      <c r="V30" s="392"/>
      <c r="W30" s="128"/>
      <c r="X30" s="128"/>
      <c r="Y30" s="128"/>
      <c r="Z30" s="46" t="s">
        <v>92</v>
      </c>
      <c r="AA30" s="128"/>
      <c r="AB30" s="64">
        <v>0</v>
      </c>
      <c r="AC30" s="128"/>
      <c r="AD30" s="385">
        <f>BQ30/0.3048^3</f>
        <v>50.26548245743669</v>
      </c>
      <c r="AE30" s="386"/>
      <c r="AF30" s="387">
        <f>BS30</f>
        <v>86.576435435085443</v>
      </c>
      <c r="AG30" s="388"/>
      <c r="AH30" s="128"/>
      <c r="AI30" s="128"/>
      <c r="AJ30" s="129"/>
      <c r="AK30" s="16"/>
      <c r="AL30" s="128"/>
      <c r="AM30" s="129"/>
      <c r="AN30" s="25"/>
      <c r="AO30" s="27" t="s">
        <v>91</v>
      </c>
      <c r="AP30" s="27"/>
      <c r="AQ30" s="27"/>
      <c r="AR30" s="27"/>
      <c r="AS30" s="27"/>
      <c r="AT30" s="27"/>
      <c r="AU30" s="27"/>
      <c r="AV30" s="27"/>
      <c r="AW30" s="338" t="s">
        <v>84</v>
      </c>
      <c r="AX30" s="339" t="s">
        <v>84</v>
      </c>
      <c r="AY30" s="389">
        <f>(((AX13/3600/(BC23*((BA11-AX11)/AX11)^0.5)/(PI()/4))^0.5)*1000)</f>
        <v>2130.6313203921873</v>
      </c>
      <c r="AZ30" s="390"/>
      <c r="BA30" s="390"/>
      <c r="BB30" s="390"/>
      <c r="BC30" s="389">
        <f>BC27</f>
        <v>2438.4</v>
      </c>
      <c r="BD30" s="390"/>
      <c r="BE30" s="390"/>
      <c r="BF30" s="391"/>
      <c r="BG30" s="128"/>
      <c r="BH30" s="392"/>
      <c r="BI30" s="392"/>
      <c r="BJ30" s="128"/>
      <c r="BK30" s="128"/>
      <c r="BL30" s="128"/>
      <c r="BM30" s="46" t="s">
        <v>92</v>
      </c>
      <c r="BN30" s="128"/>
      <c r="BO30" s="64">
        <v>0</v>
      </c>
      <c r="BP30" s="128"/>
      <c r="BQ30" s="385">
        <f>(BO29)/1000*(BC27/1000)^2*PI()/4</f>
        <v>1.4233599556201022</v>
      </c>
      <c r="BR30" s="386"/>
      <c r="BS30" s="387">
        <f>BQ30/BA13*60</f>
        <v>86.576435435085443</v>
      </c>
      <c r="BT30" s="388"/>
      <c r="BU30" s="128"/>
      <c r="BV30" s="128"/>
      <c r="BW30" s="129"/>
      <c r="BX30" s="16"/>
      <c r="BY30" s="128"/>
      <c r="BZ30" s="129"/>
    </row>
    <row r="31" spans="1:80" ht="15.95" customHeight="1">
      <c r="A31" s="6" t="s">
        <v>93</v>
      </c>
      <c r="B31" s="126"/>
      <c r="C31" s="126"/>
      <c r="D31" s="126"/>
      <c r="E31" s="126"/>
      <c r="F31" s="126"/>
      <c r="G31" s="126"/>
      <c r="H31" s="126"/>
      <c r="I31" s="126"/>
      <c r="J31" s="126"/>
      <c r="K31" s="66"/>
      <c r="L31" s="396" t="s">
        <v>67</v>
      </c>
      <c r="M31" s="397"/>
      <c r="N31" s="397"/>
      <c r="O31" s="397"/>
      <c r="P31" s="398" t="s">
        <v>68</v>
      </c>
      <c r="Q31" s="399"/>
      <c r="R31" s="399"/>
      <c r="S31" s="400"/>
      <c r="T31" s="11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1"/>
      <c r="AH31" s="128"/>
      <c r="AI31" s="128"/>
      <c r="AJ31" s="129"/>
      <c r="AK31" s="16"/>
      <c r="AL31" s="128"/>
      <c r="AM31" s="129"/>
      <c r="AN31" s="6" t="s">
        <v>93</v>
      </c>
      <c r="AO31" s="126"/>
      <c r="AP31" s="126"/>
      <c r="AQ31" s="126"/>
      <c r="AR31" s="126"/>
      <c r="AS31" s="126"/>
      <c r="AT31" s="126"/>
      <c r="AU31" s="126"/>
      <c r="AV31" s="126"/>
      <c r="AW31" s="126"/>
      <c r="AX31" s="66"/>
      <c r="AY31" s="396" t="s">
        <v>67</v>
      </c>
      <c r="AZ31" s="397"/>
      <c r="BA31" s="397"/>
      <c r="BB31" s="397"/>
      <c r="BC31" s="398" t="s">
        <v>68</v>
      </c>
      <c r="BD31" s="399"/>
      <c r="BE31" s="399"/>
      <c r="BF31" s="400"/>
      <c r="BG31" s="11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1"/>
      <c r="BU31" s="128"/>
      <c r="BV31" s="128"/>
      <c r="BW31" s="129"/>
      <c r="BX31" s="16"/>
      <c r="BY31" s="128"/>
      <c r="BZ31" s="129"/>
    </row>
    <row r="32" spans="1:80" ht="15.95" customHeight="1">
      <c r="A32" s="10"/>
      <c r="B32" s="128"/>
      <c r="C32" s="128"/>
      <c r="D32" s="128"/>
      <c r="E32" s="128"/>
      <c r="F32" s="128"/>
      <c r="G32" s="128"/>
      <c r="H32" s="67"/>
      <c r="I32" s="128"/>
      <c r="J32" s="128"/>
      <c r="K32" s="56"/>
      <c r="L32" s="404" t="s">
        <v>94</v>
      </c>
      <c r="M32" s="405"/>
      <c r="N32" s="404" t="s">
        <v>95</v>
      </c>
      <c r="O32" s="405"/>
      <c r="P32" s="401"/>
      <c r="Q32" s="402"/>
      <c r="R32" s="402"/>
      <c r="S32" s="403"/>
      <c r="T32" s="118"/>
      <c r="U32" s="120"/>
      <c r="V32" s="128"/>
      <c r="W32" s="68"/>
      <c r="X32" s="128"/>
      <c r="Y32" s="128"/>
      <c r="Z32" s="128"/>
      <c r="AA32" s="128"/>
      <c r="AB32" s="128"/>
      <c r="AC32" s="128"/>
      <c r="AD32" s="128"/>
      <c r="AE32" s="128"/>
      <c r="AF32" s="128"/>
      <c r="AG32" s="11"/>
      <c r="AH32" s="128"/>
      <c r="AI32" s="128"/>
      <c r="AJ32" s="129"/>
      <c r="AK32" s="16"/>
      <c r="AL32" s="128"/>
      <c r="AM32" s="129"/>
      <c r="AN32" s="10"/>
      <c r="AO32" s="128"/>
      <c r="AP32" s="128"/>
      <c r="AQ32" s="128"/>
      <c r="AR32" s="128"/>
      <c r="AS32" s="128"/>
      <c r="AT32" s="128"/>
      <c r="AU32" s="67"/>
      <c r="AV32" s="128"/>
      <c r="AW32" s="128"/>
      <c r="AX32" s="56"/>
      <c r="AY32" s="404" t="s">
        <v>94</v>
      </c>
      <c r="AZ32" s="405"/>
      <c r="BA32" s="404" t="s">
        <v>95</v>
      </c>
      <c r="BB32" s="405"/>
      <c r="BC32" s="401"/>
      <c r="BD32" s="402"/>
      <c r="BE32" s="402"/>
      <c r="BF32" s="403"/>
      <c r="BG32" s="118"/>
      <c r="BH32" s="120"/>
      <c r="BI32" s="128"/>
      <c r="BJ32" s="68"/>
      <c r="BK32" s="128"/>
      <c r="BL32" s="128"/>
      <c r="BM32" s="128"/>
      <c r="BN32" s="128"/>
      <c r="BO32" s="128"/>
      <c r="BP32" s="128"/>
      <c r="BQ32" s="128"/>
      <c r="BR32" s="128"/>
      <c r="BS32" s="128"/>
      <c r="BT32" s="11"/>
      <c r="BU32" s="128"/>
      <c r="BV32" s="128"/>
      <c r="BW32" s="129"/>
      <c r="BX32" s="16"/>
      <c r="BY32" s="128"/>
      <c r="BZ32" s="129"/>
    </row>
    <row r="33" spans="1:78" ht="15.95" customHeight="1">
      <c r="A33" s="17"/>
      <c r="B33" s="128" t="s">
        <v>96</v>
      </c>
      <c r="C33" s="128"/>
      <c r="D33" s="128"/>
      <c r="E33" s="128"/>
      <c r="F33" s="128"/>
      <c r="G33" s="128"/>
      <c r="H33" s="69"/>
      <c r="I33" s="128"/>
      <c r="J33" s="338" t="s">
        <v>82</v>
      </c>
      <c r="K33" s="339"/>
      <c r="L33" s="393">
        <f>SUM(L34:M42)/12</f>
        <v>8.5385924373101396</v>
      </c>
      <c r="M33" s="393"/>
      <c r="N33" s="393">
        <f>SUM(N34:O42)/12</f>
        <v>10.583333333333334</v>
      </c>
      <c r="O33" s="393"/>
      <c r="P33" s="408">
        <f>SUM(P34:Q42)/12</f>
        <v>10.583333333333334</v>
      </c>
      <c r="Q33" s="409"/>
      <c r="R33" s="394"/>
      <c r="S33" s="395"/>
      <c r="T33" s="128"/>
      <c r="U33" s="128"/>
      <c r="V33" s="128"/>
      <c r="W33" s="68"/>
      <c r="X33" s="128"/>
      <c r="Y33" s="128"/>
      <c r="Z33" s="128"/>
      <c r="AA33" s="128"/>
      <c r="AB33" s="128"/>
      <c r="AC33" s="128"/>
      <c r="AD33" s="128"/>
      <c r="AE33" s="128"/>
      <c r="AF33" s="19">
        <f>R20</f>
        <v>3</v>
      </c>
      <c r="AG33" s="13" t="s">
        <v>97</v>
      </c>
      <c r="AH33" s="128"/>
      <c r="AI33" s="70"/>
      <c r="AJ33" s="129"/>
      <c r="AK33" s="16"/>
      <c r="AL33" s="128"/>
      <c r="AM33" s="129"/>
      <c r="AN33" s="17"/>
      <c r="AO33" s="128" t="s">
        <v>96</v>
      </c>
      <c r="AP33" s="128"/>
      <c r="AQ33" s="128"/>
      <c r="AR33" s="128"/>
      <c r="AS33" s="128"/>
      <c r="AT33" s="128"/>
      <c r="AU33" s="69"/>
      <c r="AV33" s="128"/>
      <c r="AW33" s="338" t="s">
        <v>84</v>
      </c>
      <c r="AX33" s="339"/>
      <c r="AY33" s="406">
        <f>SUM(AY34:AZ42)</f>
        <v>2524.552307199031</v>
      </c>
      <c r="AZ33" s="406"/>
      <c r="BA33" s="406">
        <f>SUM(BA34:BB42)</f>
        <v>3120</v>
      </c>
      <c r="BB33" s="406"/>
      <c r="BC33" s="407">
        <f>SUM(BC34:BD42)</f>
        <v>3225.8000000000006</v>
      </c>
      <c r="BD33" s="407"/>
      <c r="BE33" s="394"/>
      <c r="BF33" s="395"/>
      <c r="BG33" s="128"/>
      <c r="BH33" s="128"/>
      <c r="BI33" s="128"/>
      <c r="BJ33" s="68"/>
      <c r="BK33" s="128"/>
      <c r="BL33" s="128"/>
      <c r="BM33" s="128"/>
      <c r="BN33" s="128"/>
      <c r="BO33" s="128"/>
      <c r="BP33" s="128"/>
      <c r="BQ33" s="128"/>
      <c r="BR33" s="128"/>
      <c r="BS33" s="19">
        <f>BE20</f>
        <v>3</v>
      </c>
      <c r="BT33" s="13" t="s">
        <v>97</v>
      </c>
      <c r="BU33" s="128"/>
      <c r="BV33" s="70"/>
      <c r="BW33" s="129"/>
      <c r="BX33" s="16"/>
      <c r="BY33" s="128"/>
      <c r="BZ33" s="129"/>
    </row>
    <row r="34" spans="1:78" ht="15.95" customHeight="1">
      <c r="A34" s="17"/>
      <c r="B34" s="128" t="s">
        <v>98</v>
      </c>
      <c r="C34" s="128"/>
      <c r="D34" s="128"/>
      <c r="E34" s="128"/>
      <c r="F34" s="128"/>
      <c r="G34" s="128"/>
      <c r="H34" s="69"/>
      <c r="I34" s="128"/>
      <c r="J34" s="338" t="s">
        <v>51</v>
      </c>
      <c r="K34" s="339"/>
      <c r="L34" s="393">
        <f>IF(P27*12*0.15&lt;12,12,P27*12*0.15)</f>
        <v>14.399999999999999</v>
      </c>
      <c r="M34" s="393"/>
      <c r="N34" s="393">
        <f>ROUNDUP(L34,0)</f>
        <v>15</v>
      </c>
      <c r="O34" s="393"/>
      <c r="P34" s="410">
        <v>15</v>
      </c>
      <c r="Q34" s="410"/>
      <c r="R34" s="411">
        <f t="shared" ref="R34:R41" si="0">R35+P34</f>
        <v>127</v>
      </c>
      <c r="S34" s="412"/>
      <c r="T34" s="71"/>
      <c r="U34" s="413"/>
      <c r="V34" s="413"/>
      <c r="W34" s="72" t="s">
        <v>99</v>
      </c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29"/>
      <c r="AK34" s="16"/>
      <c r="AL34" s="128"/>
      <c r="AM34" s="129"/>
      <c r="AN34" s="17"/>
      <c r="AO34" s="128" t="s">
        <v>100</v>
      </c>
      <c r="AP34" s="128"/>
      <c r="AQ34" s="128"/>
      <c r="AR34" s="128"/>
      <c r="AS34" s="128"/>
      <c r="AT34" s="128"/>
      <c r="AU34" s="69"/>
      <c r="AV34" s="128"/>
      <c r="AW34" s="338" t="s">
        <v>84</v>
      </c>
      <c r="AX34" s="339"/>
      <c r="AY34" s="406">
        <f>IF(BC27*0.15&lt;300,300,BC27*0.15)</f>
        <v>365.76</v>
      </c>
      <c r="AZ34" s="406"/>
      <c r="BA34" s="406">
        <f>ROUNDUP(AY34,-1)</f>
        <v>370</v>
      </c>
      <c r="BB34" s="406"/>
      <c r="BC34" s="410">
        <f>P34/12*0.3048*1000</f>
        <v>381</v>
      </c>
      <c r="BD34" s="410"/>
      <c r="BE34" s="411">
        <f t="shared" ref="BE34:BE39" si="1">BE35+BC34</f>
        <v>3225.8</v>
      </c>
      <c r="BF34" s="412"/>
      <c r="BG34" s="71"/>
      <c r="BH34" s="413"/>
      <c r="BI34" s="413"/>
      <c r="BJ34" s="72" t="s">
        <v>99</v>
      </c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29"/>
      <c r="BX34" s="16"/>
      <c r="BY34" s="128"/>
      <c r="BZ34" s="129"/>
    </row>
    <row r="35" spans="1:78" ht="15.95" customHeight="1">
      <c r="A35" s="17"/>
      <c r="B35" s="128" t="s">
        <v>101</v>
      </c>
      <c r="C35" s="128"/>
      <c r="D35" s="128"/>
      <c r="E35" s="128"/>
      <c r="F35" s="128"/>
      <c r="G35" s="128"/>
      <c r="H35" s="69"/>
      <c r="I35" s="73" t="s">
        <v>102</v>
      </c>
      <c r="J35" s="338" t="s">
        <v>51</v>
      </c>
      <c r="K35" s="339"/>
      <c r="L35" s="393">
        <v>6</v>
      </c>
      <c r="M35" s="393"/>
      <c r="N35" s="393">
        <f>ROUNDUP(L35,0)</f>
        <v>6</v>
      </c>
      <c r="O35" s="393"/>
      <c r="P35" s="414">
        <v>6</v>
      </c>
      <c r="Q35" s="415"/>
      <c r="R35" s="411">
        <f t="shared" si="0"/>
        <v>112</v>
      </c>
      <c r="S35" s="412"/>
      <c r="T35" s="71"/>
      <c r="U35" s="416"/>
      <c r="V35" s="416"/>
      <c r="W35" s="417" t="s">
        <v>103</v>
      </c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8"/>
      <c r="AK35" s="16"/>
      <c r="AL35" s="128"/>
      <c r="AM35" s="129"/>
      <c r="AN35" s="17"/>
      <c r="AO35" s="128" t="s">
        <v>101</v>
      </c>
      <c r="AP35" s="128"/>
      <c r="AQ35" s="128"/>
      <c r="AR35" s="128"/>
      <c r="AS35" s="128"/>
      <c r="AT35" s="128"/>
      <c r="AU35" s="69"/>
      <c r="AV35" s="73" t="s">
        <v>102</v>
      </c>
      <c r="AW35" s="338" t="s">
        <v>84</v>
      </c>
      <c r="AX35" s="339"/>
      <c r="AY35" s="406">
        <v>150</v>
      </c>
      <c r="AZ35" s="406"/>
      <c r="BA35" s="406">
        <f>ROUNDUP(AY35,-1)</f>
        <v>150</v>
      </c>
      <c r="BB35" s="406"/>
      <c r="BC35" s="410">
        <f t="shared" ref="BC35:BC41" si="2">P35/12*0.3048*1000</f>
        <v>152.4</v>
      </c>
      <c r="BD35" s="410"/>
      <c r="BE35" s="411">
        <f t="shared" si="1"/>
        <v>2844.8</v>
      </c>
      <c r="BF35" s="412"/>
      <c r="BG35" s="71"/>
      <c r="BH35" s="416"/>
      <c r="BI35" s="416"/>
      <c r="BJ35" s="417" t="s">
        <v>104</v>
      </c>
      <c r="BK35" s="417"/>
      <c r="BL35" s="417"/>
      <c r="BM35" s="417"/>
      <c r="BN35" s="417"/>
      <c r="BO35" s="417"/>
      <c r="BP35" s="417"/>
      <c r="BQ35" s="417"/>
      <c r="BR35" s="417"/>
      <c r="BS35" s="417"/>
      <c r="BT35" s="417"/>
      <c r="BU35" s="417"/>
      <c r="BV35" s="417"/>
      <c r="BW35" s="418"/>
      <c r="BX35" s="16"/>
      <c r="BY35" s="128"/>
      <c r="BZ35" s="129"/>
    </row>
    <row r="36" spans="1:78" ht="15.95" customHeight="1">
      <c r="A36" s="17"/>
      <c r="B36" s="11" t="s">
        <v>105</v>
      </c>
      <c r="C36" s="128"/>
      <c r="D36" s="128"/>
      <c r="E36" s="128"/>
      <c r="F36" s="128"/>
      <c r="G36" s="128"/>
      <c r="H36" s="122"/>
      <c r="I36" s="128"/>
      <c r="J36" s="338" t="s">
        <v>51</v>
      </c>
      <c r="K36" s="339"/>
      <c r="L36" s="393">
        <f>AY36*0.03937008</f>
        <v>39.370080000000002</v>
      </c>
      <c r="M36" s="393"/>
      <c r="N36" s="393">
        <f>ROUNDUP(L36,0)</f>
        <v>40</v>
      </c>
      <c r="O36" s="393"/>
      <c r="P36" s="414">
        <v>40</v>
      </c>
      <c r="Q36" s="415"/>
      <c r="R36" s="411">
        <f t="shared" si="0"/>
        <v>106</v>
      </c>
      <c r="S36" s="412"/>
      <c r="T36" s="71"/>
      <c r="U36" s="120"/>
      <c r="V36" s="128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7"/>
      <c r="AJ36" s="418"/>
      <c r="AK36" s="16"/>
      <c r="AL36" s="128"/>
      <c r="AM36" s="129"/>
      <c r="AN36" s="17"/>
      <c r="AO36" s="11" t="s">
        <v>106</v>
      </c>
      <c r="AP36" s="128"/>
      <c r="AQ36" s="128"/>
      <c r="AR36" s="128"/>
      <c r="AS36" s="128"/>
      <c r="AT36" s="128"/>
      <c r="AU36" s="122"/>
      <c r="AV36" s="128"/>
      <c r="AW36" s="338" t="s">
        <v>84</v>
      </c>
      <c r="AX36" s="339"/>
      <c r="AY36" s="406">
        <f>IF(BC27&gt;2000,1000,0.5*BC27)</f>
        <v>1000</v>
      </c>
      <c r="AZ36" s="406"/>
      <c r="BA36" s="406">
        <f>ROUNDUP(AY36,-1)</f>
        <v>1000</v>
      </c>
      <c r="BB36" s="406"/>
      <c r="BC36" s="410">
        <f t="shared" si="2"/>
        <v>1016</v>
      </c>
      <c r="BD36" s="410"/>
      <c r="BE36" s="411">
        <f t="shared" si="1"/>
        <v>2692.4</v>
      </c>
      <c r="BF36" s="412"/>
      <c r="BG36" s="71"/>
      <c r="BH36" s="120"/>
      <c r="BI36" s="128"/>
      <c r="BJ36" s="417"/>
      <c r="BK36" s="417"/>
      <c r="BL36" s="417"/>
      <c r="BM36" s="417"/>
      <c r="BN36" s="417"/>
      <c r="BO36" s="417"/>
      <c r="BP36" s="417"/>
      <c r="BQ36" s="417"/>
      <c r="BR36" s="417"/>
      <c r="BS36" s="417"/>
      <c r="BT36" s="417"/>
      <c r="BU36" s="417"/>
      <c r="BV36" s="417"/>
      <c r="BW36" s="418"/>
      <c r="BX36" s="16"/>
      <c r="BY36" s="128"/>
      <c r="BZ36" s="129"/>
    </row>
    <row r="37" spans="1:78" ht="15.95" customHeight="1" thickBot="1">
      <c r="A37" s="21"/>
      <c r="B37" s="128" t="s">
        <v>107</v>
      </c>
      <c r="C37" s="128"/>
      <c r="D37" s="128"/>
      <c r="E37" s="128"/>
      <c r="F37" s="128"/>
      <c r="G37" s="128"/>
      <c r="H37" s="121"/>
      <c r="I37" s="128"/>
      <c r="J37" s="338" t="s">
        <v>51</v>
      </c>
      <c r="K37" s="339"/>
      <c r="L37" s="393">
        <f>L18</f>
        <v>16</v>
      </c>
      <c r="M37" s="393"/>
      <c r="N37" s="393">
        <f>ROUNDUP(L37,0)</f>
        <v>16</v>
      </c>
      <c r="O37" s="393"/>
      <c r="P37" s="414">
        <v>16</v>
      </c>
      <c r="Q37" s="415"/>
      <c r="R37" s="411">
        <f t="shared" si="0"/>
        <v>66</v>
      </c>
      <c r="S37" s="419"/>
      <c r="T37" s="25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74"/>
      <c r="AH37" s="75"/>
      <c r="AI37" s="76"/>
      <c r="AJ37" s="27"/>
      <c r="AK37" s="16"/>
      <c r="AL37" s="27"/>
      <c r="AM37" s="77"/>
      <c r="AN37" s="21"/>
      <c r="AO37" s="128" t="s">
        <v>107</v>
      </c>
      <c r="AP37" s="128"/>
      <c r="AQ37" s="128"/>
      <c r="AR37" s="128"/>
      <c r="AS37" s="128"/>
      <c r="AT37" s="128"/>
      <c r="AU37" s="121"/>
      <c r="AV37" s="128"/>
      <c r="AW37" s="338" t="s">
        <v>84</v>
      </c>
      <c r="AX37" s="339"/>
      <c r="AY37" s="406">
        <f>AY18</f>
        <v>406.4</v>
      </c>
      <c r="AZ37" s="406"/>
      <c r="BA37" s="406">
        <f>ROUNDUP(AY37,-1)</f>
        <v>410</v>
      </c>
      <c r="BB37" s="406"/>
      <c r="BC37" s="410">
        <f t="shared" si="2"/>
        <v>406.4</v>
      </c>
      <c r="BD37" s="410"/>
      <c r="BE37" s="411">
        <f t="shared" si="1"/>
        <v>1676.4</v>
      </c>
      <c r="BF37" s="419"/>
      <c r="BG37" s="25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6"/>
      <c r="BU37" s="27"/>
      <c r="BV37" s="27"/>
      <c r="BW37" s="27"/>
      <c r="BX37" s="16"/>
      <c r="BY37" s="27"/>
      <c r="BZ37" s="77"/>
    </row>
    <row r="38" spans="1:78" ht="15.95" customHeight="1">
      <c r="A38" s="17"/>
      <c r="B38" s="11" t="s">
        <v>108</v>
      </c>
      <c r="C38" s="128"/>
      <c r="D38" s="128"/>
      <c r="E38" s="128"/>
      <c r="F38" s="128"/>
      <c r="G38" s="128"/>
      <c r="H38" s="78"/>
      <c r="I38" s="128"/>
      <c r="J38" s="338" t="s">
        <v>51</v>
      </c>
      <c r="K38" s="339"/>
      <c r="L38" s="393">
        <f>IF(L18/2+6&gt;12,L18/2+6,12)</f>
        <v>14</v>
      </c>
      <c r="M38" s="393"/>
      <c r="N38" s="393">
        <f>ROUNDUP(L38,0)</f>
        <v>14</v>
      </c>
      <c r="O38" s="393"/>
      <c r="P38" s="414">
        <v>14</v>
      </c>
      <c r="Q38" s="415"/>
      <c r="R38" s="411">
        <f t="shared" si="0"/>
        <v>50</v>
      </c>
      <c r="S38" s="419"/>
      <c r="T38" s="79"/>
      <c r="U38" s="420" t="s">
        <v>109</v>
      </c>
      <c r="V38" s="420"/>
      <c r="W38" s="420"/>
      <c r="X38" s="420"/>
      <c r="Y38" s="420"/>
      <c r="Z38" s="420"/>
      <c r="AA38" s="420"/>
      <c r="AB38" s="420"/>
      <c r="AC38" s="420"/>
      <c r="AD38" s="420"/>
      <c r="AE38" s="420"/>
      <c r="AF38" s="420"/>
      <c r="AG38" s="80"/>
      <c r="AH38" s="81"/>
      <c r="AI38" s="82"/>
      <c r="AJ38" s="126"/>
      <c r="AK38" s="126"/>
      <c r="AL38" s="126"/>
      <c r="AM38" s="127"/>
      <c r="AN38" s="17"/>
      <c r="AO38" s="11" t="s">
        <v>108</v>
      </c>
      <c r="AP38" s="128"/>
      <c r="AQ38" s="128"/>
      <c r="AR38" s="128"/>
      <c r="AS38" s="128"/>
      <c r="AT38" s="128"/>
      <c r="AU38" s="78"/>
      <c r="AV38" s="128"/>
      <c r="AW38" s="338" t="s">
        <v>84</v>
      </c>
      <c r="AX38" s="339"/>
      <c r="AY38" s="406">
        <f>IF(AW18*25.4*0.5+150&gt;300,AW18*25.4*0.5+150,300)</f>
        <v>334.7893648701953</v>
      </c>
      <c r="AZ38" s="406"/>
      <c r="BA38" s="406">
        <f>ROUNDUP(AY38,-1)</f>
        <v>340</v>
      </c>
      <c r="BB38" s="406"/>
      <c r="BC38" s="410">
        <f t="shared" si="2"/>
        <v>355.6</v>
      </c>
      <c r="BD38" s="410"/>
      <c r="BE38" s="411">
        <f t="shared" si="1"/>
        <v>1270</v>
      </c>
      <c r="BF38" s="419"/>
      <c r="BG38" s="79"/>
      <c r="BH38" s="420" t="s">
        <v>109</v>
      </c>
      <c r="BI38" s="420"/>
      <c r="BJ38" s="420"/>
      <c r="BK38" s="420"/>
      <c r="BL38" s="420"/>
      <c r="BM38" s="420"/>
      <c r="BN38" s="420"/>
      <c r="BO38" s="420"/>
      <c r="BP38" s="420"/>
      <c r="BQ38" s="420"/>
      <c r="BR38" s="420"/>
      <c r="BS38" s="420"/>
      <c r="BT38" s="80"/>
      <c r="BU38" s="81"/>
      <c r="BV38" s="82"/>
      <c r="BW38" s="126"/>
      <c r="BX38" s="126"/>
      <c r="BY38" s="126"/>
      <c r="BZ38" s="127"/>
    </row>
    <row r="39" spans="1:78" ht="15.95" customHeight="1">
      <c r="A39" s="17"/>
      <c r="B39" s="128" t="s">
        <v>110</v>
      </c>
      <c r="C39" s="128"/>
      <c r="D39" s="128"/>
      <c r="E39" s="128"/>
      <c r="F39" s="128"/>
      <c r="G39" s="422">
        <v>2</v>
      </c>
      <c r="H39" s="423"/>
      <c r="I39" s="83" t="s">
        <v>111</v>
      </c>
      <c r="J39" s="338" t="s">
        <v>51</v>
      </c>
      <c r="K39" s="339"/>
      <c r="L39" s="393">
        <f>AY39*0.03937008</f>
        <v>0.13860584954433175</v>
      </c>
      <c r="M39" s="393"/>
      <c r="N39" s="393">
        <f>IF(L39&gt;6,L39,6)</f>
        <v>6</v>
      </c>
      <c r="O39" s="393"/>
      <c r="P39" s="414">
        <v>6</v>
      </c>
      <c r="Q39" s="415"/>
      <c r="R39" s="411">
        <f t="shared" si="0"/>
        <v>36</v>
      </c>
      <c r="S39" s="419"/>
      <c r="T39" s="424" t="s">
        <v>112</v>
      </c>
      <c r="U39" s="425"/>
      <c r="V39" s="425"/>
      <c r="W39" s="425"/>
      <c r="X39" s="84" t="str">
        <f>IF(AND(P39&gt;=6,AF22&gt;2),"; OK", " too small")</f>
        <v>; OK</v>
      </c>
      <c r="Y39" s="85"/>
      <c r="Z39" s="85"/>
      <c r="AA39" s="85" t="s">
        <v>136</v>
      </c>
      <c r="AB39" s="85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7"/>
      <c r="AN39" s="17"/>
      <c r="AO39" s="128" t="s">
        <v>110</v>
      </c>
      <c r="AP39" s="128"/>
      <c r="AQ39" s="128"/>
      <c r="AR39" s="128"/>
      <c r="AS39" s="128"/>
      <c r="AT39" s="426">
        <v>1</v>
      </c>
      <c r="AU39" s="427"/>
      <c r="AV39" s="83" t="s">
        <v>111</v>
      </c>
      <c r="AW39" s="338" t="s">
        <v>84</v>
      </c>
      <c r="AX39" s="339"/>
      <c r="AY39" s="428">
        <f>BA13/60*AT39/((BC27/1000)^2*PI()/4)*1000</f>
        <v>3.5205884657671951</v>
      </c>
      <c r="AZ39" s="428"/>
      <c r="BA39" s="428">
        <f>IF(BA13/60*AT39/((BC27/1000)^2*PI()/4)*1000&gt;150,BA13/60*AT39/((BC27/1000)^2*PI()/4)*1000,150)</f>
        <v>150</v>
      </c>
      <c r="BB39" s="428"/>
      <c r="BC39" s="410">
        <f t="shared" si="2"/>
        <v>152.4</v>
      </c>
      <c r="BD39" s="410"/>
      <c r="BE39" s="411">
        <f t="shared" si="1"/>
        <v>914.4</v>
      </c>
      <c r="BF39" s="419"/>
      <c r="BG39" s="424" t="s">
        <v>112</v>
      </c>
      <c r="BH39" s="425"/>
      <c r="BI39" s="425"/>
      <c r="BJ39" s="425"/>
      <c r="BK39" s="84" t="str">
        <f>IF(AND(BC39&gt;=BA39,BC39&gt;=150), "; OK", " too small")</f>
        <v>; OK</v>
      </c>
      <c r="BL39" s="85"/>
      <c r="BM39" s="85"/>
      <c r="BN39" s="85" t="s">
        <v>113</v>
      </c>
      <c r="BO39" s="85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7"/>
    </row>
    <row r="40" spans="1:78" ht="15.95" customHeight="1">
      <c r="A40" s="17"/>
      <c r="B40" s="128" t="s">
        <v>114</v>
      </c>
      <c r="C40" s="128"/>
      <c r="D40" s="128"/>
      <c r="E40" s="128"/>
      <c r="F40" s="128"/>
      <c r="G40" s="422">
        <v>6</v>
      </c>
      <c r="H40" s="423"/>
      <c r="I40" s="83" t="s">
        <v>111</v>
      </c>
      <c r="J40" s="338" t="s">
        <v>51</v>
      </c>
      <c r="K40" s="339"/>
      <c r="L40" s="393">
        <f>AY40*0.03937008</f>
        <v>0.41581754863299519</v>
      </c>
      <c r="M40" s="393"/>
      <c r="N40" s="393">
        <f>IF(L40&gt;12,L40,12)</f>
        <v>12</v>
      </c>
      <c r="O40" s="393"/>
      <c r="P40" s="414">
        <v>12</v>
      </c>
      <c r="Q40" s="415"/>
      <c r="R40" s="411">
        <f>R41+P40</f>
        <v>30</v>
      </c>
      <c r="S40" s="419"/>
      <c r="T40" s="424" t="s">
        <v>115</v>
      </c>
      <c r="U40" s="425"/>
      <c r="V40" s="425"/>
      <c r="W40" s="425"/>
      <c r="X40" s="84" t="str">
        <f>IF(AND(P40&gt;=12,AF25&gt;6),"; OK", " too small")</f>
        <v>; OK</v>
      </c>
      <c r="Y40" s="85"/>
      <c r="Z40" s="85"/>
      <c r="AA40" s="85" t="s">
        <v>137</v>
      </c>
      <c r="AB40" s="85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7"/>
      <c r="AN40" s="17"/>
      <c r="AO40" s="128" t="s">
        <v>114</v>
      </c>
      <c r="AP40" s="128"/>
      <c r="AQ40" s="128"/>
      <c r="AR40" s="128"/>
      <c r="AS40" s="128"/>
      <c r="AT40" s="426">
        <v>3</v>
      </c>
      <c r="AU40" s="427"/>
      <c r="AV40" s="83" t="s">
        <v>111</v>
      </c>
      <c r="AW40" s="338" t="s">
        <v>84</v>
      </c>
      <c r="AX40" s="339"/>
      <c r="AY40" s="428">
        <f>BA13/60*AT40/((BC27/1000)^2*PI()/4)*1000</f>
        <v>10.561765397301585</v>
      </c>
      <c r="AZ40" s="428"/>
      <c r="BA40" s="428">
        <f>IF(BA13/60*AT40/((BC27/1000)^2*PI()/4)*1000&gt;300,BA13/60*AT40/((BC27/1000)^2*PI()/4)*1000,300)</f>
        <v>300</v>
      </c>
      <c r="BB40" s="428"/>
      <c r="BC40" s="410">
        <f t="shared" si="2"/>
        <v>304.8</v>
      </c>
      <c r="BD40" s="410"/>
      <c r="BE40" s="411">
        <f>BE41+BC40</f>
        <v>762</v>
      </c>
      <c r="BF40" s="419"/>
      <c r="BG40" s="424" t="s">
        <v>115</v>
      </c>
      <c r="BH40" s="425"/>
      <c r="BI40" s="425"/>
      <c r="BJ40" s="425"/>
      <c r="BK40" s="84" t="str">
        <f>IF(AND(BC40&gt;=BA40,BC40&gt;=300), "; OK", " too small")</f>
        <v>; OK</v>
      </c>
      <c r="BL40" s="85"/>
      <c r="BM40" s="85"/>
      <c r="BN40" s="85" t="s">
        <v>116</v>
      </c>
      <c r="BO40" s="85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7"/>
    </row>
    <row r="41" spans="1:78" ht="15.95" customHeight="1">
      <c r="A41" s="17"/>
      <c r="B41" s="128" t="s">
        <v>117</v>
      </c>
      <c r="C41" s="128"/>
      <c r="D41" s="128"/>
      <c r="E41" s="128"/>
      <c r="F41" s="128"/>
      <c r="G41" s="422">
        <v>2</v>
      </c>
      <c r="H41" s="423"/>
      <c r="I41" s="83" t="s">
        <v>111</v>
      </c>
      <c r="J41" s="338" t="s">
        <v>51</v>
      </c>
      <c r="K41" s="339"/>
      <c r="L41" s="393">
        <f>AY41*0.03937008</f>
        <v>0.13860584954433175</v>
      </c>
      <c r="M41" s="393"/>
      <c r="N41" s="393">
        <f>IF(L41&gt;6,L41,6)</f>
        <v>6</v>
      </c>
      <c r="O41" s="393"/>
      <c r="P41" s="414">
        <v>6</v>
      </c>
      <c r="Q41" s="415"/>
      <c r="R41" s="411">
        <f t="shared" si="0"/>
        <v>18</v>
      </c>
      <c r="S41" s="419"/>
      <c r="T41" s="424" t="s">
        <v>118</v>
      </c>
      <c r="U41" s="425"/>
      <c r="V41" s="425"/>
      <c r="W41" s="425"/>
      <c r="X41" s="84" t="str">
        <f>IF(AND(P41&gt;=6,AF29&gt;2),"; OK", " too small")</f>
        <v>; OK</v>
      </c>
      <c r="Y41" s="85"/>
      <c r="Z41" s="85"/>
      <c r="AA41" s="85" t="s">
        <v>136</v>
      </c>
      <c r="AB41" s="85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7"/>
      <c r="AN41" s="17"/>
      <c r="AO41" s="128" t="s">
        <v>117</v>
      </c>
      <c r="AP41" s="128"/>
      <c r="AQ41" s="128"/>
      <c r="AR41" s="128"/>
      <c r="AS41" s="128"/>
      <c r="AT41" s="426">
        <v>1</v>
      </c>
      <c r="AU41" s="427"/>
      <c r="AV41" s="83" t="s">
        <v>111</v>
      </c>
      <c r="AW41" s="338" t="s">
        <v>84</v>
      </c>
      <c r="AX41" s="339"/>
      <c r="AY41" s="406">
        <f>BA13/60*AT41/((BC27/1000)^2*PI()/4)*1000</f>
        <v>3.5205884657671951</v>
      </c>
      <c r="AZ41" s="406"/>
      <c r="BA41" s="406">
        <f>IF(BA13/60*AT41/((BC27/1000)^2*PI()/4)*1000&gt;150,BA13/60*AT41/((BC27/1000)^2*PI()/4)*1000,150)</f>
        <v>150</v>
      </c>
      <c r="BB41" s="406"/>
      <c r="BC41" s="410">
        <f t="shared" si="2"/>
        <v>152.4</v>
      </c>
      <c r="BD41" s="410"/>
      <c r="BE41" s="411">
        <f>BE42+BC41</f>
        <v>457.20000000000005</v>
      </c>
      <c r="BF41" s="419"/>
      <c r="BG41" s="424" t="s">
        <v>118</v>
      </c>
      <c r="BH41" s="425"/>
      <c r="BI41" s="425"/>
      <c r="BJ41" s="425"/>
      <c r="BK41" s="84" t="str">
        <f>IF(AND(BC41&gt;=BA41,BC41&gt;=150), "; OK", " too small")</f>
        <v>; OK</v>
      </c>
      <c r="BL41" s="85"/>
      <c r="BM41" s="85"/>
      <c r="BN41" s="85" t="s">
        <v>119</v>
      </c>
      <c r="BO41" s="85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7"/>
    </row>
    <row r="42" spans="1:78" ht="15.95" customHeight="1" thickBot="1">
      <c r="A42" s="25"/>
      <c r="B42" s="27" t="s">
        <v>120</v>
      </c>
      <c r="C42" s="27"/>
      <c r="D42" s="27"/>
      <c r="E42" s="27"/>
      <c r="F42" s="27"/>
      <c r="G42" s="27"/>
      <c r="H42" s="88"/>
      <c r="I42" s="27"/>
      <c r="J42" s="429" t="s">
        <v>51</v>
      </c>
      <c r="K42" s="430"/>
      <c r="L42" s="431">
        <v>12</v>
      </c>
      <c r="M42" s="431"/>
      <c r="N42" s="431">
        <f>ROUNDUP(L42,0)</f>
        <v>12</v>
      </c>
      <c r="O42" s="431"/>
      <c r="P42" s="432">
        <v>12</v>
      </c>
      <c r="Q42" s="433"/>
      <c r="R42" s="434">
        <f>P42</f>
        <v>12</v>
      </c>
      <c r="S42" s="435"/>
      <c r="T42" s="424" t="s">
        <v>121</v>
      </c>
      <c r="U42" s="425"/>
      <c r="V42" s="425"/>
      <c r="W42" s="425"/>
      <c r="X42" s="84" t="str">
        <f>IF(P42&gt;=12, "; OK", " too small")</f>
        <v>; OK</v>
      </c>
      <c r="Y42" s="85"/>
      <c r="Z42" s="85"/>
      <c r="AA42" s="85" t="s">
        <v>122</v>
      </c>
      <c r="AB42" s="85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7"/>
      <c r="AN42" s="25"/>
      <c r="AO42" s="27" t="s">
        <v>120</v>
      </c>
      <c r="AP42" s="27"/>
      <c r="AQ42" s="27"/>
      <c r="AR42" s="27"/>
      <c r="AS42" s="27"/>
      <c r="AT42" s="27"/>
      <c r="AU42" s="88"/>
      <c r="AV42" s="27"/>
      <c r="AW42" s="429" t="s">
        <v>84</v>
      </c>
      <c r="AX42" s="430"/>
      <c r="AY42" s="436">
        <v>250</v>
      </c>
      <c r="AZ42" s="436"/>
      <c r="BA42" s="436">
        <f>ROUNDUP(AY42,-1)</f>
        <v>250</v>
      </c>
      <c r="BB42" s="436"/>
      <c r="BC42" s="437">
        <f>P42/12*0.3048*1000</f>
        <v>304.8</v>
      </c>
      <c r="BD42" s="437"/>
      <c r="BE42" s="434">
        <f>BC42</f>
        <v>304.8</v>
      </c>
      <c r="BF42" s="435"/>
      <c r="BG42" s="424" t="s">
        <v>121</v>
      </c>
      <c r="BH42" s="425"/>
      <c r="BI42" s="425"/>
      <c r="BJ42" s="425"/>
      <c r="BK42" s="84" t="str">
        <f>IF(AND(BC42&gt;=BA42,BC42&gt;=200), "; OK", " too small")</f>
        <v>; OK</v>
      </c>
      <c r="BL42" s="85"/>
      <c r="BM42" s="85"/>
      <c r="BN42" s="85" t="s">
        <v>123</v>
      </c>
      <c r="BO42" s="85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7"/>
    </row>
    <row r="43" spans="1:78" ht="15.95" customHeight="1">
      <c r="A43" s="6" t="s">
        <v>124</v>
      </c>
      <c r="B43" s="126"/>
      <c r="C43" s="126"/>
      <c r="D43" s="126"/>
      <c r="E43" s="126" t="s">
        <v>125</v>
      </c>
      <c r="F43" s="126"/>
      <c r="G43" s="126"/>
      <c r="H43" s="126"/>
      <c r="I43" s="89"/>
      <c r="J43" s="89"/>
      <c r="K43" s="132"/>
      <c r="L43" s="438">
        <f>L33/P27</f>
        <v>1.0673240546637675</v>
      </c>
      <c r="M43" s="439"/>
      <c r="N43" s="439">
        <f>N33/P27</f>
        <v>1.3229166666666667</v>
      </c>
      <c r="O43" s="439"/>
      <c r="P43" s="439">
        <f>P33/P27</f>
        <v>1.3229166666666667</v>
      </c>
      <c r="Q43" s="439"/>
      <c r="R43" s="439"/>
      <c r="S43" s="440"/>
      <c r="T43" s="90"/>
      <c r="U43" s="128"/>
      <c r="V43" s="128"/>
      <c r="W43" s="128"/>
      <c r="X43" s="128"/>
      <c r="Y43" s="128"/>
      <c r="Z43" s="47"/>
      <c r="AA43" s="47"/>
      <c r="AB43" s="47"/>
      <c r="AC43" s="47"/>
      <c r="AD43" s="47"/>
      <c r="AE43" s="47"/>
      <c r="AF43" s="47"/>
      <c r="AG43" s="91"/>
      <c r="AH43" s="47"/>
      <c r="AI43" s="47"/>
      <c r="AJ43" s="92"/>
      <c r="AK43" s="128"/>
      <c r="AL43" s="128"/>
      <c r="AM43" s="129"/>
      <c r="AN43" s="6" t="s">
        <v>124</v>
      </c>
      <c r="AO43" s="126"/>
      <c r="AP43" s="126"/>
      <c r="AQ43" s="126"/>
      <c r="AR43" s="126" t="s">
        <v>125</v>
      </c>
      <c r="AS43" s="126"/>
      <c r="AT43" s="126"/>
      <c r="AU43" s="126"/>
      <c r="AV43" s="89"/>
      <c r="AW43" s="89"/>
      <c r="AX43" s="132"/>
      <c r="AY43" s="438">
        <f>AY33/BC27</f>
        <v>1.0353314908132509</v>
      </c>
      <c r="AZ43" s="439"/>
      <c r="BA43" s="439">
        <f>BA33/BC27</f>
        <v>1.2795275590551181</v>
      </c>
      <c r="BB43" s="439"/>
      <c r="BC43" s="439">
        <f>BC33/BC27</f>
        <v>1.322916666666667</v>
      </c>
      <c r="BD43" s="439"/>
      <c r="BE43" s="439"/>
      <c r="BF43" s="440"/>
      <c r="BG43" s="90"/>
      <c r="BH43" s="128"/>
      <c r="BI43" s="128"/>
      <c r="BJ43" s="128"/>
      <c r="BK43" s="128"/>
      <c r="BL43" s="128"/>
      <c r="BM43" s="47"/>
      <c r="BN43" s="47"/>
      <c r="BO43" s="47"/>
      <c r="BP43" s="47"/>
      <c r="BQ43" s="47"/>
      <c r="BR43" s="47"/>
      <c r="BS43" s="47"/>
      <c r="BT43" s="91"/>
      <c r="BU43" s="47"/>
      <c r="BV43" s="47"/>
      <c r="BW43" s="92"/>
      <c r="BX43" s="128"/>
      <c r="BY43" s="128"/>
      <c r="BZ43" s="129"/>
    </row>
    <row r="44" spans="1:78" ht="15.95" customHeight="1" thickBot="1">
      <c r="A44" s="93"/>
      <c r="B44" s="27"/>
      <c r="C44" s="27"/>
      <c r="D44" s="27"/>
      <c r="E44" s="27" t="s">
        <v>126</v>
      </c>
      <c r="F44" s="27"/>
      <c r="G44" s="27"/>
      <c r="H44" s="27"/>
      <c r="I44" s="27"/>
      <c r="J44" s="27"/>
      <c r="K44" s="125" t="s">
        <v>11</v>
      </c>
      <c r="L44" s="443">
        <f>AY44/0.3048^3</f>
        <v>384.61954599591184</v>
      </c>
      <c r="M44" s="444"/>
      <c r="N44" s="444">
        <f>BA44/0.3048^3</f>
        <v>503.64140103621321</v>
      </c>
      <c r="O44" s="444"/>
      <c r="P44" s="444">
        <f>BC44/0.3048^3</f>
        <v>531.97635600787169</v>
      </c>
      <c r="Q44" s="444"/>
      <c r="R44" s="444">
        <f>BE44/0.3048^3</f>
        <v>666.01764256103615</v>
      </c>
      <c r="S44" s="445"/>
      <c r="T44" s="94"/>
      <c r="U44" s="95"/>
      <c r="V44" s="27"/>
      <c r="W44" s="95"/>
      <c r="X44" s="27"/>
      <c r="Y44" s="95"/>
      <c r="Z44" s="95"/>
      <c r="AA44" s="95"/>
      <c r="AB44" s="95"/>
      <c r="AC44" s="95"/>
      <c r="AD44" s="96"/>
      <c r="AE44" s="95"/>
      <c r="AF44" s="95"/>
      <c r="AG44" s="95"/>
      <c r="AH44" s="95"/>
      <c r="AI44" s="95"/>
      <c r="AJ44" s="95"/>
      <c r="AK44" s="27"/>
      <c r="AL44" s="27"/>
      <c r="AM44" s="77"/>
      <c r="AN44" s="93"/>
      <c r="AO44" s="27"/>
      <c r="AP44" s="27"/>
      <c r="AQ44" s="27"/>
      <c r="AR44" s="27" t="s">
        <v>126</v>
      </c>
      <c r="AS44" s="27"/>
      <c r="AT44" s="27"/>
      <c r="AU44" s="27"/>
      <c r="AV44" s="27"/>
      <c r="AW44" s="27"/>
      <c r="AX44" s="125" t="s">
        <v>13</v>
      </c>
      <c r="AY44" s="443">
        <f>(AY27/1000)^2*PI()/4*AY33/1000</f>
        <v>10.891212680250925</v>
      </c>
      <c r="AZ44" s="444"/>
      <c r="BA44" s="444">
        <f>AY44+(2/3)*PI()*0.5*(AY27/1000/2)^3*2</f>
        <v>14.261536290522402</v>
      </c>
      <c r="BB44" s="444"/>
      <c r="BC44" s="444">
        <f>(BC27/1000)^2*PI()/4*BC33/1000</f>
        <v>15.063892863646082</v>
      </c>
      <c r="BD44" s="444"/>
      <c r="BE44" s="444">
        <f>BC44+(2/3)*PI()*0.5*(BC27/1000/2)^3*2</f>
        <v>18.859519411966353</v>
      </c>
      <c r="BF44" s="445"/>
      <c r="BG44" s="94"/>
      <c r="BH44" s="95"/>
      <c r="BI44" s="27"/>
      <c r="BJ44" s="95"/>
      <c r="BK44" s="27"/>
      <c r="BL44" s="95"/>
      <c r="BM44" s="95"/>
      <c r="BN44" s="95"/>
      <c r="BO44" s="95"/>
      <c r="BP44" s="95"/>
      <c r="BQ44" s="96"/>
      <c r="BR44" s="95"/>
      <c r="BS44" s="95"/>
      <c r="BT44" s="95"/>
      <c r="BU44" s="95"/>
      <c r="BV44" s="95"/>
      <c r="BW44" s="95"/>
      <c r="BX44" s="27"/>
      <c r="BY44" s="27"/>
      <c r="BZ44" s="77"/>
    </row>
    <row r="45" spans="1:78">
      <c r="A45" s="11"/>
      <c r="B45" s="128"/>
      <c r="C45" s="128"/>
      <c r="D45" s="128"/>
      <c r="E45" s="128" t="s">
        <v>133</v>
      </c>
      <c r="F45" s="128"/>
      <c r="G45" s="128" t="s">
        <v>134</v>
      </c>
      <c r="H45" s="128">
        <f>P27*0.3048</f>
        <v>2.4384000000000001</v>
      </c>
      <c r="I45" s="128"/>
      <c r="J45" s="128"/>
      <c r="K45" s="128"/>
      <c r="L45" s="128"/>
      <c r="M45" s="128"/>
      <c r="N45" s="32"/>
      <c r="O45" s="97"/>
      <c r="P45" s="97"/>
      <c r="Q45" s="97"/>
      <c r="R45" s="97"/>
      <c r="S45" s="97"/>
      <c r="T45" s="97"/>
      <c r="U45" s="92"/>
      <c r="V45" s="92"/>
      <c r="W45" s="92"/>
      <c r="X45" s="92"/>
      <c r="Y45" s="92"/>
      <c r="Z45" s="92"/>
      <c r="AA45" s="92"/>
      <c r="AB45" s="92"/>
      <c r="AC45" s="92"/>
      <c r="AD45" s="98"/>
      <c r="AE45" s="92"/>
      <c r="AF45" s="92"/>
      <c r="AG45" s="92"/>
      <c r="AH45" s="92"/>
      <c r="AI45" s="92"/>
      <c r="AJ45" s="47"/>
      <c r="AK45" s="47"/>
      <c r="AN45" s="11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32"/>
      <c r="BB45" s="97"/>
      <c r="BC45" s="97"/>
      <c r="BD45" s="97"/>
      <c r="BE45" s="97"/>
      <c r="BF45" s="97"/>
      <c r="BG45" s="97"/>
      <c r="BH45" s="92"/>
      <c r="BI45" s="92"/>
      <c r="BJ45" s="92"/>
      <c r="BK45" s="92"/>
      <c r="BL45" s="92"/>
      <c r="BM45" s="92"/>
      <c r="BN45" s="92"/>
      <c r="BO45" s="92"/>
      <c r="BP45" s="92"/>
      <c r="BQ45" s="98"/>
      <c r="BR45" s="92"/>
      <c r="BS45" s="92"/>
      <c r="BT45" s="92"/>
      <c r="BU45" s="92"/>
      <c r="BV45" s="92"/>
      <c r="BW45" s="47"/>
      <c r="BX45" s="47"/>
    </row>
    <row r="46" spans="1:78" ht="15.95" customHeight="1">
      <c r="A46" s="11"/>
      <c r="E46" s="1" t="s">
        <v>135</v>
      </c>
      <c r="G46" s="1" t="s">
        <v>134</v>
      </c>
      <c r="H46" s="1">
        <f>P33*0.3048</f>
        <v>3.2258000000000004</v>
      </c>
      <c r="N46" s="32"/>
      <c r="O46" s="97"/>
      <c r="P46" s="97"/>
      <c r="Q46" s="97"/>
      <c r="R46" s="97"/>
      <c r="S46" s="97"/>
      <c r="T46" s="97"/>
      <c r="Z46" s="47"/>
      <c r="AA46" s="47"/>
      <c r="AB46" s="47"/>
      <c r="AC46" s="47"/>
      <c r="AD46" s="441"/>
      <c r="AE46" s="441"/>
      <c r="AF46" s="441"/>
      <c r="AG46" s="441"/>
      <c r="AH46" s="441"/>
      <c r="AI46" s="441"/>
      <c r="AJ46" s="92"/>
      <c r="AK46" s="47"/>
      <c r="AN46" s="11"/>
      <c r="BA46" s="32"/>
      <c r="BB46" s="97"/>
      <c r="BC46" s="97"/>
      <c r="BD46" s="97"/>
      <c r="BE46" s="97"/>
      <c r="BF46" s="97"/>
      <c r="BG46" s="97"/>
      <c r="BM46" s="47"/>
      <c r="BN46" s="47"/>
      <c r="BO46" s="47"/>
      <c r="BP46" s="47"/>
      <c r="BQ46" s="441"/>
      <c r="BR46" s="441"/>
      <c r="BS46" s="441"/>
      <c r="BT46" s="441"/>
      <c r="BU46" s="441"/>
      <c r="BV46" s="441"/>
      <c r="BW46" s="92"/>
      <c r="BX46" s="47"/>
    </row>
    <row r="47" spans="1:78" ht="15.9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92"/>
      <c r="V47" s="92"/>
      <c r="W47" s="92"/>
      <c r="X47" s="92"/>
      <c r="Y47" s="92"/>
      <c r="Z47" s="92"/>
      <c r="AA47" s="92"/>
      <c r="AB47" s="92"/>
      <c r="AC47" s="92"/>
      <c r="AD47" s="98"/>
      <c r="AE47" s="92"/>
      <c r="AF47" s="92"/>
      <c r="AG47" s="92"/>
      <c r="AH47" s="92"/>
      <c r="AI47" s="92"/>
      <c r="AJ47" s="92"/>
      <c r="AK47" s="47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92"/>
      <c r="BI47" s="92"/>
      <c r="BJ47" s="92"/>
      <c r="BK47" s="92"/>
      <c r="BL47" s="92"/>
      <c r="BM47" s="92"/>
      <c r="BN47" s="92"/>
      <c r="BO47" s="92"/>
      <c r="BP47" s="92"/>
      <c r="BQ47" s="98"/>
      <c r="BR47" s="92"/>
      <c r="BS47" s="92"/>
      <c r="BT47" s="92"/>
      <c r="BU47" s="92"/>
      <c r="BV47" s="92"/>
      <c r="BW47" s="92"/>
      <c r="BX47" s="47"/>
    </row>
    <row r="48" spans="1:78">
      <c r="A48" s="11"/>
      <c r="B48" s="128"/>
      <c r="C48" s="128"/>
      <c r="D48" s="128"/>
      <c r="E48" s="128"/>
      <c r="F48" s="128"/>
      <c r="G48" s="128"/>
      <c r="H48" s="128"/>
      <c r="I48" s="128"/>
      <c r="J48" s="128" t="s">
        <v>127</v>
      </c>
      <c r="K48" s="128"/>
      <c r="L48" s="128"/>
      <c r="M48" s="128"/>
      <c r="N48" s="32"/>
      <c r="O48" s="99" t="s">
        <v>128</v>
      </c>
      <c r="P48" s="97"/>
      <c r="Q48" s="97"/>
      <c r="R48" s="97"/>
      <c r="S48" s="97"/>
      <c r="T48" s="97"/>
      <c r="U48" s="100"/>
      <c r="V48" s="442" t="s">
        <v>129</v>
      </c>
      <c r="W48" s="442"/>
      <c r="X48" s="442"/>
      <c r="Y48" s="442"/>
      <c r="Z48" s="442"/>
      <c r="AA48" s="442"/>
      <c r="AB48" s="47"/>
      <c r="AC48" s="92"/>
      <c r="AD48" s="98"/>
      <c r="AE48" s="92"/>
      <c r="AF48" s="92"/>
      <c r="AG48" s="92"/>
      <c r="AH48" s="92"/>
      <c r="AI48" s="92"/>
      <c r="AJ48" s="47"/>
      <c r="AK48" s="47"/>
      <c r="AL48" s="128"/>
      <c r="AM48" s="128"/>
      <c r="AN48" s="11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32"/>
      <c r="BB48" s="97"/>
      <c r="BC48" s="97"/>
      <c r="BD48" s="97"/>
      <c r="BE48" s="97"/>
      <c r="BF48" s="97"/>
      <c r="BG48" s="97"/>
      <c r="BH48" s="128"/>
      <c r="BI48" s="92"/>
      <c r="BJ48" s="92"/>
      <c r="BK48" s="92"/>
      <c r="BL48" s="92"/>
      <c r="BM48" s="92"/>
      <c r="BN48" s="92"/>
      <c r="BO48" s="92"/>
      <c r="BP48" s="92"/>
      <c r="BQ48" s="98"/>
      <c r="BR48" s="92"/>
      <c r="BS48" s="92"/>
      <c r="BT48" s="92"/>
      <c r="BU48" s="92"/>
      <c r="BV48" s="92"/>
      <c r="BW48" s="47"/>
      <c r="BX48" s="47"/>
    </row>
    <row r="49" spans="1:81" ht="15.95" customHeight="1">
      <c r="A49" s="11"/>
      <c r="B49" s="128"/>
      <c r="C49" s="128"/>
      <c r="D49" s="128"/>
      <c r="E49" s="128"/>
      <c r="F49" s="128"/>
      <c r="G49" s="128"/>
      <c r="H49" s="128"/>
      <c r="I49" s="128"/>
      <c r="J49" s="128" t="s">
        <v>130</v>
      </c>
      <c r="K49" s="128"/>
      <c r="L49" s="128"/>
      <c r="M49" s="128"/>
      <c r="N49" s="128"/>
      <c r="O49" s="128" t="s">
        <v>131</v>
      </c>
      <c r="P49" s="128"/>
      <c r="Q49" s="128"/>
      <c r="R49" s="128"/>
      <c r="S49" s="128"/>
      <c r="T49" s="101"/>
      <c r="U49" s="128"/>
      <c r="V49" s="101"/>
      <c r="W49" s="101"/>
      <c r="X49" s="102"/>
      <c r="Y49" s="103"/>
      <c r="Z49" s="100"/>
      <c r="AA49" s="100"/>
      <c r="AB49" s="100"/>
      <c r="AC49" s="47"/>
      <c r="AD49" s="47"/>
      <c r="AE49" s="47"/>
      <c r="AF49" s="47"/>
      <c r="AG49" s="91"/>
      <c r="AH49" s="47"/>
      <c r="AI49" s="47"/>
      <c r="AJ49" s="92"/>
      <c r="AK49" s="47"/>
      <c r="AL49" s="128"/>
      <c r="AM49" s="128"/>
      <c r="AN49" s="11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32"/>
      <c r="BB49" s="97"/>
      <c r="BC49" s="97"/>
      <c r="BD49" s="97"/>
      <c r="BE49" s="97"/>
      <c r="BF49" s="97"/>
      <c r="BG49" s="97"/>
      <c r="BH49" s="100"/>
      <c r="BI49" s="442"/>
      <c r="BJ49" s="442"/>
      <c r="BK49" s="442"/>
      <c r="BL49" s="442"/>
      <c r="BM49" s="442"/>
      <c r="BN49" s="442"/>
      <c r="BO49" s="47"/>
      <c r="BP49" s="47"/>
      <c r="BQ49" s="47"/>
      <c r="BR49" s="47"/>
      <c r="BS49" s="47"/>
      <c r="BT49" s="91"/>
      <c r="BU49" s="47"/>
      <c r="BV49" s="47"/>
      <c r="BW49" s="92"/>
      <c r="BX49" s="47"/>
    </row>
    <row r="50" spans="1:81" ht="15.95" customHeight="1">
      <c r="A50" s="101"/>
      <c r="B50" s="101"/>
      <c r="C50" s="101"/>
      <c r="D50" s="101"/>
      <c r="E50" s="101"/>
      <c r="F50" s="101"/>
      <c r="G50" s="101"/>
      <c r="H50" s="101"/>
      <c r="I50" s="101"/>
      <c r="J50" s="128"/>
      <c r="K50" s="128"/>
      <c r="L50" s="128"/>
      <c r="M50" s="23"/>
      <c r="N50" s="104"/>
      <c r="O50" s="105"/>
      <c r="P50" s="105"/>
      <c r="Q50" s="105"/>
      <c r="R50" s="105"/>
      <c r="S50" s="106"/>
      <c r="T50" s="106"/>
      <c r="U50" s="107"/>
      <c r="V50" s="128"/>
      <c r="W50" s="128"/>
      <c r="X50" s="446"/>
      <c r="Y50" s="446"/>
      <c r="Z50" s="447"/>
      <c r="AA50" s="447"/>
      <c r="AB50" s="447"/>
      <c r="AC50" s="100"/>
      <c r="AD50" s="100"/>
      <c r="AE50" s="100"/>
      <c r="AF50" s="100"/>
      <c r="AG50" s="100"/>
      <c r="AH50" s="100"/>
      <c r="AI50" s="100"/>
      <c r="AJ50" s="92"/>
      <c r="AK50" s="47"/>
      <c r="AL50" s="128"/>
      <c r="AM50" s="128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28"/>
      <c r="BI50" s="101"/>
      <c r="BJ50" s="101"/>
      <c r="BK50" s="102"/>
      <c r="BL50" s="103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92"/>
      <c r="BX50" s="47"/>
      <c r="BY50" s="128"/>
      <c r="BZ50" s="128"/>
      <c r="CA50" s="128"/>
      <c r="CB50" s="128"/>
      <c r="CC50" s="128"/>
    </row>
    <row r="51" spans="1:81">
      <c r="A51" s="128"/>
      <c r="B51" s="91"/>
      <c r="C51" s="47"/>
      <c r="D51" s="91"/>
      <c r="E51" s="47"/>
      <c r="F51" s="128"/>
      <c r="G51" s="128"/>
      <c r="H51" s="128"/>
      <c r="I51" s="128"/>
      <c r="J51" s="128"/>
      <c r="K51" s="128"/>
      <c r="L51" s="128"/>
      <c r="M51" s="23"/>
      <c r="N51" s="104"/>
      <c r="O51" s="105"/>
      <c r="P51" s="105"/>
      <c r="Q51" s="105"/>
      <c r="R51" s="105"/>
      <c r="S51" s="106"/>
      <c r="T51" s="106"/>
      <c r="U51" s="107"/>
      <c r="V51" s="128"/>
      <c r="W51" s="128"/>
      <c r="X51" s="446"/>
      <c r="Y51" s="446"/>
      <c r="Z51" s="447"/>
      <c r="AA51" s="447"/>
      <c r="AB51" s="447"/>
      <c r="AC51" s="108"/>
      <c r="AD51" s="109"/>
      <c r="AE51" s="100"/>
      <c r="AF51" s="100"/>
      <c r="AG51" s="100"/>
      <c r="AH51" s="100"/>
      <c r="AI51" s="100"/>
      <c r="AJ51" s="47"/>
      <c r="AK51" s="47"/>
      <c r="AL51" s="128"/>
      <c r="AM51" s="128"/>
      <c r="AN51" s="128"/>
      <c r="AO51" s="91"/>
      <c r="AP51" s="47"/>
      <c r="AQ51" s="91"/>
      <c r="AR51" s="47"/>
      <c r="AS51" s="128"/>
      <c r="AT51" s="128"/>
      <c r="AU51" s="128"/>
      <c r="AV51" s="128"/>
      <c r="AW51" s="128"/>
      <c r="AX51" s="128"/>
      <c r="AY51" s="128"/>
      <c r="AZ51" s="23"/>
      <c r="BA51" s="104"/>
      <c r="BB51" s="105"/>
      <c r="BC51" s="105"/>
      <c r="BD51" s="105"/>
      <c r="BE51" s="105"/>
      <c r="BF51" s="106"/>
      <c r="BG51" s="106"/>
      <c r="BH51" s="107"/>
      <c r="BI51" s="128"/>
      <c r="BJ51" s="128"/>
      <c r="BK51" s="446"/>
      <c r="BL51" s="446"/>
      <c r="BM51" s="447"/>
      <c r="BN51" s="447"/>
      <c r="BO51" s="447"/>
      <c r="BP51" s="108"/>
      <c r="BQ51" s="109"/>
      <c r="BR51" s="100"/>
      <c r="BS51" s="100"/>
      <c r="BT51" s="100"/>
      <c r="BU51" s="100"/>
      <c r="BV51" s="100"/>
      <c r="BW51" s="47"/>
      <c r="BX51" s="47"/>
      <c r="BY51" s="128"/>
      <c r="BZ51" s="128"/>
      <c r="CA51" s="128"/>
      <c r="CB51" s="128"/>
      <c r="CC51" s="128"/>
    </row>
    <row r="52" spans="1:81" s="2" customFormat="1" ht="15.75">
      <c r="A52" s="128"/>
      <c r="B52" s="91"/>
      <c r="C52" s="47"/>
      <c r="D52" s="91">
        <v>1</v>
      </c>
      <c r="E52" s="47" t="s">
        <v>138</v>
      </c>
      <c r="F52" s="128"/>
      <c r="G52" s="128"/>
      <c r="H52" s="128"/>
      <c r="I52" s="128"/>
      <c r="J52" s="128"/>
      <c r="K52" s="128"/>
      <c r="L52" s="128"/>
      <c r="M52" s="23"/>
      <c r="N52" s="104"/>
      <c r="O52" s="105"/>
      <c r="P52" s="105"/>
      <c r="Q52" s="105"/>
      <c r="R52" s="105"/>
      <c r="S52" s="106"/>
      <c r="T52" s="106"/>
      <c r="U52" s="128"/>
      <c r="V52" s="128"/>
      <c r="W52" s="128"/>
      <c r="X52" s="446"/>
      <c r="Y52" s="446"/>
      <c r="Z52" s="449"/>
      <c r="AA52" s="449"/>
      <c r="AB52" s="449"/>
      <c r="AC52" s="108"/>
      <c r="AD52" s="109"/>
      <c r="AE52" s="100"/>
      <c r="AF52" s="100"/>
      <c r="AG52" s="100"/>
      <c r="AH52" s="100"/>
      <c r="AI52" s="100"/>
      <c r="AJ52" s="100"/>
      <c r="AK52" s="100"/>
      <c r="AL52" s="100"/>
      <c r="AM52" s="100"/>
      <c r="AN52" s="128"/>
      <c r="AO52" s="91"/>
      <c r="AP52" s="47"/>
      <c r="AQ52" s="91"/>
      <c r="AR52" s="47"/>
      <c r="AS52" s="128"/>
      <c r="AT52" s="128"/>
      <c r="AU52" s="128"/>
      <c r="AV52" s="128"/>
      <c r="AW52" s="128"/>
      <c r="AX52" s="128"/>
      <c r="AY52" s="128"/>
      <c r="AZ52" s="23"/>
      <c r="BA52" s="104"/>
      <c r="BB52" s="105"/>
      <c r="BC52" s="105"/>
      <c r="BD52" s="105"/>
      <c r="BE52" s="105"/>
      <c r="BF52" s="106"/>
      <c r="BG52" s="106"/>
      <c r="BH52" s="128"/>
      <c r="BI52" s="128"/>
      <c r="BJ52" s="128"/>
      <c r="BK52" s="446"/>
      <c r="BL52" s="446"/>
      <c r="BM52" s="449"/>
      <c r="BN52" s="449"/>
      <c r="BO52" s="449"/>
      <c r="BP52" s="108"/>
      <c r="BQ52" s="109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1"/>
    </row>
    <row r="53" spans="1:81">
      <c r="A53" s="128"/>
      <c r="B53" s="91"/>
      <c r="C53" s="47"/>
      <c r="D53" s="133">
        <f>D52*2.2/3.2808</f>
        <v>0.67056815410875403</v>
      </c>
      <c r="E53" s="47" t="s">
        <v>139</v>
      </c>
      <c r="F53" s="128"/>
      <c r="G53" s="128"/>
      <c r="H53" s="128"/>
      <c r="I53" s="128"/>
      <c r="J53" s="128"/>
      <c r="K53" s="128"/>
      <c r="L53" s="128"/>
      <c r="M53" s="23"/>
      <c r="N53" s="104"/>
      <c r="O53" s="105"/>
      <c r="P53" s="105"/>
      <c r="Q53" s="105"/>
      <c r="R53" s="105"/>
      <c r="S53" s="106"/>
      <c r="T53" s="106"/>
      <c r="U53" s="128"/>
      <c r="V53" s="128"/>
      <c r="W53" s="128"/>
      <c r="X53" s="446"/>
      <c r="Y53" s="446"/>
      <c r="Z53" s="448"/>
      <c r="AA53" s="448"/>
      <c r="AB53" s="448"/>
      <c r="AC53" s="108"/>
      <c r="AD53" s="109"/>
      <c r="AE53" s="100"/>
      <c r="AF53" s="100"/>
      <c r="AG53" s="100"/>
      <c r="AH53" s="100"/>
      <c r="AI53" s="100"/>
      <c r="AJ53" s="100"/>
      <c r="AK53" s="100"/>
      <c r="AL53" s="100"/>
      <c r="AM53" s="100"/>
      <c r="AN53" s="128"/>
      <c r="AO53" s="91"/>
      <c r="AP53" s="47"/>
      <c r="AQ53" s="91"/>
      <c r="AR53" s="47"/>
      <c r="AS53" s="128"/>
      <c r="AT53" s="128"/>
      <c r="AU53" s="128"/>
      <c r="AV53" s="128"/>
      <c r="AW53" s="128"/>
      <c r="AX53" s="128"/>
      <c r="AY53" s="128"/>
      <c r="AZ53" s="23"/>
      <c r="BA53" s="104"/>
      <c r="BB53" s="105"/>
      <c r="BC53" s="105"/>
      <c r="BD53" s="105"/>
      <c r="BE53" s="105"/>
      <c r="BF53" s="106"/>
      <c r="BG53" s="106"/>
      <c r="BH53" s="128"/>
      <c r="BI53" s="128"/>
      <c r="BJ53" s="128"/>
      <c r="BK53" s="446"/>
      <c r="BL53" s="446"/>
      <c r="BM53" s="448"/>
      <c r="BN53" s="448"/>
      <c r="BO53" s="448"/>
      <c r="BP53" s="108"/>
      <c r="BQ53" s="109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28"/>
    </row>
    <row r="54" spans="1:81">
      <c r="A54" s="128"/>
      <c r="B54" s="91"/>
      <c r="C54" s="47"/>
      <c r="D54" s="91"/>
      <c r="E54" s="47"/>
      <c r="F54" s="128"/>
      <c r="G54" s="128"/>
      <c r="H54" s="128"/>
      <c r="I54" s="128"/>
      <c r="J54" s="128"/>
      <c r="K54" s="128"/>
      <c r="L54" s="128"/>
      <c r="M54" s="23"/>
      <c r="N54" s="104"/>
      <c r="O54" s="105"/>
      <c r="P54" s="105"/>
      <c r="Q54" s="105"/>
      <c r="R54" s="105"/>
      <c r="S54" s="106"/>
      <c r="T54" s="106"/>
      <c r="U54" s="128"/>
      <c r="V54" s="128"/>
      <c r="W54" s="128"/>
      <c r="X54" s="446"/>
      <c r="Y54" s="446"/>
      <c r="Z54" s="448"/>
      <c r="AA54" s="448"/>
      <c r="AB54" s="448"/>
      <c r="AC54" s="108"/>
      <c r="AD54" s="109"/>
      <c r="AE54" s="100"/>
      <c r="AF54" s="100"/>
      <c r="AG54" s="100"/>
      <c r="AH54" s="100"/>
      <c r="AI54" s="100"/>
      <c r="AJ54" s="100"/>
      <c r="AK54" s="100"/>
      <c r="AL54" s="100"/>
      <c r="AM54" s="100"/>
      <c r="AN54" s="128"/>
      <c r="AO54" s="91"/>
      <c r="AP54" s="47"/>
      <c r="AQ54" s="91"/>
      <c r="AR54" s="47"/>
      <c r="AS54" s="128"/>
      <c r="AT54" s="128"/>
      <c r="AU54" s="128"/>
      <c r="AV54" s="128"/>
      <c r="AW54" s="128"/>
      <c r="AX54" s="128"/>
      <c r="AY54" s="128"/>
      <c r="AZ54" s="23"/>
      <c r="BA54" s="104"/>
      <c r="BB54" s="105"/>
      <c r="BC54" s="105"/>
      <c r="BD54" s="105"/>
      <c r="BE54" s="105"/>
      <c r="BF54" s="106"/>
      <c r="BG54" s="106"/>
      <c r="BH54" s="128"/>
      <c r="BI54" s="128"/>
      <c r="BJ54" s="128"/>
      <c r="BK54" s="446"/>
      <c r="BL54" s="446"/>
      <c r="BM54" s="448"/>
      <c r="BN54" s="448"/>
      <c r="BO54" s="448"/>
      <c r="BP54" s="108"/>
      <c r="BQ54" s="109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28"/>
    </row>
    <row r="55" spans="1:81">
      <c r="A55" s="128"/>
      <c r="B55" s="91"/>
      <c r="C55" s="91"/>
      <c r="D55" s="91"/>
      <c r="E55" s="47"/>
      <c r="F55" s="128"/>
      <c r="G55" s="128"/>
      <c r="H55" s="128"/>
      <c r="I55" s="128"/>
      <c r="J55" s="128"/>
      <c r="K55" s="128"/>
      <c r="L55" s="128"/>
      <c r="M55" s="23"/>
      <c r="N55" s="104"/>
      <c r="O55" s="105"/>
      <c r="P55" s="105"/>
      <c r="Q55" s="105"/>
      <c r="R55" s="105"/>
      <c r="S55" s="106"/>
      <c r="T55" s="106"/>
      <c r="U55" s="110"/>
      <c r="V55" s="110"/>
      <c r="W55" s="110"/>
      <c r="X55" s="446"/>
      <c r="Y55" s="446"/>
      <c r="Z55" s="448"/>
      <c r="AA55" s="448"/>
      <c r="AB55" s="448"/>
      <c r="AC55" s="108"/>
      <c r="AD55" s="111"/>
      <c r="AE55" s="100"/>
      <c r="AF55" s="100"/>
      <c r="AG55" s="100"/>
      <c r="AH55" s="100"/>
      <c r="AI55" s="100"/>
      <c r="AJ55" s="100"/>
      <c r="AK55" s="100"/>
      <c r="AL55" s="100"/>
      <c r="AM55" s="100"/>
      <c r="AN55" s="128"/>
      <c r="AO55" s="91"/>
      <c r="AP55" s="91"/>
      <c r="AQ55" s="91"/>
      <c r="AR55" s="47"/>
      <c r="AS55" s="128"/>
      <c r="AT55" s="128"/>
      <c r="AU55" s="128"/>
      <c r="AV55" s="128"/>
      <c r="AW55" s="128"/>
      <c r="AX55" s="128"/>
      <c r="AY55" s="128"/>
      <c r="AZ55" s="23"/>
      <c r="BA55" s="104"/>
      <c r="BB55" s="105"/>
      <c r="BC55" s="105"/>
      <c r="BD55" s="105"/>
      <c r="BE55" s="105"/>
      <c r="BF55" s="106"/>
      <c r="BG55" s="106"/>
      <c r="BH55" s="110"/>
      <c r="BI55" s="110"/>
      <c r="BJ55" s="110"/>
      <c r="BK55" s="446"/>
      <c r="BL55" s="446"/>
      <c r="BM55" s="448"/>
      <c r="BN55" s="448"/>
      <c r="BO55" s="448"/>
      <c r="BP55" s="108"/>
      <c r="BQ55" s="111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28"/>
    </row>
    <row r="56" spans="1:81">
      <c r="A56" s="128"/>
      <c r="B56" s="91"/>
      <c r="C56" s="47" t="s">
        <v>140</v>
      </c>
      <c r="D56" s="47"/>
      <c r="E56" s="91"/>
      <c r="F56" s="128">
        <v>10000</v>
      </c>
      <c r="G56" s="128" t="s">
        <v>138</v>
      </c>
      <c r="H56" s="128"/>
      <c r="I56" s="128">
        <f>F56*$D$53</f>
        <v>6705.6815410875406</v>
      </c>
      <c r="J56" s="128"/>
      <c r="K56" s="128" t="s">
        <v>139</v>
      </c>
      <c r="L56" s="128"/>
      <c r="M56" s="23"/>
      <c r="N56" s="104"/>
      <c r="O56" s="105"/>
      <c r="P56" s="105"/>
      <c r="Q56" s="105"/>
      <c r="R56" s="105"/>
      <c r="S56" s="106"/>
      <c r="T56" s="106"/>
      <c r="U56" s="110"/>
      <c r="V56" s="110"/>
      <c r="W56" s="110"/>
      <c r="X56" s="110"/>
      <c r="Y56" s="110"/>
      <c r="Z56" s="110"/>
      <c r="AA56" s="110"/>
      <c r="AB56" s="110"/>
      <c r="AC56" s="110"/>
      <c r="AD56" s="112"/>
      <c r="AE56" s="110"/>
      <c r="AF56" s="110"/>
      <c r="AG56" s="113"/>
      <c r="AH56" s="128"/>
      <c r="AI56" s="128"/>
      <c r="AJ56" s="100"/>
      <c r="AK56" s="100"/>
      <c r="AL56" s="100"/>
      <c r="AM56" s="100"/>
      <c r="AN56" s="128"/>
      <c r="AO56" s="91"/>
      <c r="AP56" s="47"/>
      <c r="AQ56" s="47"/>
      <c r="AR56" s="91"/>
      <c r="AS56" s="128"/>
      <c r="AT56" s="128"/>
      <c r="AU56" s="128"/>
      <c r="AV56" s="128"/>
      <c r="AW56" s="128"/>
      <c r="AX56" s="128"/>
      <c r="AY56" s="128"/>
      <c r="AZ56" s="23"/>
      <c r="BA56" s="104"/>
      <c r="BB56" s="105"/>
      <c r="BC56" s="105"/>
      <c r="BD56" s="105"/>
      <c r="BE56" s="105"/>
      <c r="BF56" s="106"/>
      <c r="BG56" s="106"/>
      <c r="BH56" s="110"/>
      <c r="BI56" s="110"/>
      <c r="BJ56" s="110"/>
      <c r="BK56" s="110"/>
      <c r="BL56" s="110"/>
      <c r="BM56" s="110"/>
      <c r="BN56" s="110"/>
      <c r="BO56" s="110"/>
      <c r="BP56" s="110"/>
      <c r="BQ56" s="112"/>
      <c r="BR56" s="110"/>
      <c r="BS56" s="110"/>
      <c r="BT56" s="113"/>
      <c r="BU56" s="128"/>
      <c r="BV56" s="128"/>
      <c r="BW56" s="100"/>
      <c r="BX56" s="100"/>
      <c r="BY56" s="100"/>
      <c r="BZ56" s="100"/>
      <c r="CA56" s="100"/>
      <c r="CB56" s="100"/>
      <c r="CC56" s="128"/>
    </row>
    <row r="57" spans="1:81">
      <c r="A57" s="128"/>
      <c r="B57" s="91"/>
      <c r="C57" s="91" t="s">
        <v>141</v>
      </c>
      <c r="D57" s="47"/>
      <c r="E57" s="91"/>
      <c r="F57" s="128">
        <v>1500</v>
      </c>
      <c r="G57" s="128" t="s">
        <v>138</v>
      </c>
      <c r="H57" s="128"/>
      <c r="I57" s="128">
        <f>F57*$D$53</f>
        <v>1005.852231163131</v>
      </c>
      <c r="J57" s="128"/>
      <c r="K57" s="128" t="s">
        <v>139</v>
      </c>
      <c r="M57" s="23"/>
      <c r="N57" s="104"/>
      <c r="O57" s="105"/>
      <c r="P57" s="105"/>
      <c r="Q57" s="105"/>
      <c r="R57" s="105"/>
      <c r="S57" s="106"/>
      <c r="T57" s="106"/>
      <c r="U57" s="110"/>
      <c r="V57" s="110"/>
      <c r="W57" s="110"/>
      <c r="X57" s="110"/>
      <c r="Y57" s="110"/>
      <c r="Z57" s="110"/>
      <c r="AA57" s="110"/>
      <c r="AB57" s="110"/>
      <c r="AC57" s="110"/>
      <c r="AD57" s="112"/>
      <c r="AE57" s="110"/>
      <c r="AF57" s="110"/>
      <c r="AG57" s="113"/>
      <c r="AH57" s="128"/>
      <c r="AI57" s="128"/>
      <c r="AJ57" s="100"/>
      <c r="AK57" s="100"/>
      <c r="AL57" s="100"/>
      <c r="AM57" s="100"/>
      <c r="AN57" s="128"/>
      <c r="AO57" s="91"/>
      <c r="AP57" s="91"/>
      <c r="AQ57" s="47"/>
      <c r="AR57" s="91"/>
      <c r="AS57" s="128"/>
      <c r="AT57" s="128"/>
      <c r="AU57" s="128"/>
      <c r="AV57" s="128"/>
      <c r="AW57" s="128"/>
      <c r="AX57" s="128"/>
      <c r="AY57" s="128"/>
      <c r="AZ57" s="23"/>
      <c r="BA57" s="104"/>
      <c r="BB57" s="105"/>
      <c r="BC57" s="105"/>
      <c r="BD57" s="105"/>
      <c r="BE57" s="105"/>
      <c r="BF57" s="106"/>
      <c r="BG57" s="106"/>
      <c r="BH57" s="110"/>
      <c r="BI57" s="110"/>
      <c r="BJ57" s="110"/>
      <c r="BK57" s="110"/>
      <c r="BL57" s="110"/>
      <c r="BM57" s="110"/>
      <c r="BN57" s="110"/>
      <c r="BO57" s="110"/>
      <c r="BP57" s="110"/>
      <c r="BQ57" s="112"/>
      <c r="BR57" s="110"/>
      <c r="BS57" s="110"/>
      <c r="BT57" s="113"/>
      <c r="BU57" s="128"/>
      <c r="BV57" s="128"/>
      <c r="BW57" s="100"/>
      <c r="BX57" s="100"/>
      <c r="BY57" s="100"/>
      <c r="BZ57" s="100"/>
      <c r="CA57" s="100"/>
      <c r="CB57" s="100"/>
      <c r="CC57" s="128"/>
    </row>
    <row r="58" spans="1:81">
      <c r="A58" s="128"/>
      <c r="B58" s="91"/>
      <c r="C58" s="91" t="s">
        <v>142</v>
      </c>
      <c r="D58" s="91"/>
      <c r="E58" s="91"/>
      <c r="F58" s="128">
        <v>3750</v>
      </c>
      <c r="G58" s="128" t="s">
        <v>138</v>
      </c>
      <c r="H58" s="128"/>
      <c r="I58" s="128">
        <f>F58*$D$53</f>
        <v>2514.6305779078275</v>
      </c>
      <c r="J58" s="128"/>
      <c r="K58" s="128" t="s">
        <v>139</v>
      </c>
      <c r="L58" s="128"/>
      <c r="M58" s="23"/>
      <c r="N58" s="104"/>
      <c r="O58" s="105"/>
      <c r="P58" s="105"/>
      <c r="Q58" s="105"/>
      <c r="R58" s="105"/>
      <c r="S58" s="106"/>
      <c r="T58" s="106"/>
      <c r="U58" s="110"/>
      <c r="V58" s="110"/>
      <c r="W58" s="110"/>
      <c r="X58" s="110"/>
      <c r="Y58" s="110"/>
      <c r="Z58" s="110"/>
      <c r="AA58" s="110"/>
      <c r="AB58" s="110"/>
      <c r="AC58" s="110"/>
      <c r="AD58" s="112"/>
      <c r="AE58" s="110"/>
      <c r="AF58" s="110"/>
      <c r="AG58" s="113"/>
      <c r="AH58" s="128"/>
      <c r="AI58" s="128"/>
      <c r="AJ58" s="128"/>
      <c r="AK58" s="128"/>
      <c r="AL58" s="128"/>
      <c r="AM58" s="128"/>
      <c r="AN58" s="128"/>
      <c r="AO58" s="91"/>
      <c r="AP58" s="91"/>
      <c r="AQ58" s="91"/>
      <c r="AR58" s="91"/>
      <c r="AS58" s="128"/>
      <c r="AT58" s="128"/>
      <c r="AU58" s="128"/>
      <c r="AV58" s="128"/>
      <c r="AW58" s="128"/>
      <c r="AX58" s="128"/>
      <c r="AY58" s="128"/>
      <c r="AZ58" s="23"/>
      <c r="BA58" s="104"/>
      <c r="BB58" s="105"/>
      <c r="BC58" s="105"/>
      <c r="BD58" s="105"/>
      <c r="BE58" s="105"/>
      <c r="BF58" s="106"/>
      <c r="BG58" s="106"/>
      <c r="BH58" s="110"/>
      <c r="BI58" s="110"/>
      <c r="BJ58" s="110"/>
      <c r="BK58" s="110"/>
      <c r="BL58" s="110"/>
      <c r="BM58" s="110"/>
      <c r="BN58" s="110"/>
      <c r="BO58" s="110"/>
      <c r="BP58" s="110"/>
      <c r="BQ58" s="112"/>
      <c r="BR58" s="110"/>
      <c r="BS58" s="110"/>
      <c r="BT58" s="113"/>
      <c r="BU58" s="128"/>
      <c r="BV58" s="128"/>
      <c r="BW58" s="128"/>
      <c r="BX58" s="128"/>
      <c r="BY58" s="128"/>
      <c r="BZ58" s="128"/>
      <c r="CA58" s="128"/>
      <c r="CB58" s="128"/>
      <c r="CC58" s="128"/>
    </row>
    <row r="59" spans="1:81" ht="15.75">
      <c r="A59" s="128"/>
      <c r="B59" s="114"/>
      <c r="C59" s="128"/>
      <c r="D59" s="128"/>
      <c r="E59" s="128"/>
      <c r="F59" s="128">
        <v>1.2</v>
      </c>
      <c r="G59" s="128" t="s">
        <v>87</v>
      </c>
      <c r="H59" s="128"/>
      <c r="I59" s="1">
        <f>F59*3.28</f>
        <v>3.9359999999999995</v>
      </c>
      <c r="K59" s="1" t="s">
        <v>143</v>
      </c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1"/>
      <c r="AH59" s="128"/>
      <c r="AI59" s="128"/>
      <c r="AJ59" s="128"/>
      <c r="AK59" s="128"/>
      <c r="AL59" s="128"/>
      <c r="AM59" s="128"/>
      <c r="AN59" s="128"/>
      <c r="AO59" s="114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W59" s="128"/>
      <c r="BX59" s="128"/>
      <c r="BY59" s="128"/>
      <c r="BZ59" s="128"/>
      <c r="CA59" s="128"/>
      <c r="CB59" s="128"/>
      <c r="CC59" s="128"/>
    </row>
    <row r="60" spans="1:81" ht="15.75">
      <c r="A60" s="114"/>
      <c r="B60" s="114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1"/>
      <c r="AH60" s="128"/>
      <c r="AI60" s="128"/>
      <c r="AJ60" s="128"/>
      <c r="AK60" s="128"/>
      <c r="AL60" s="128"/>
      <c r="AM60" s="128"/>
      <c r="AN60" s="114"/>
      <c r="AO60" s="114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W60" s="128"/>
      <c r="BX60" s="128"/>
      <c r="BY60" s="128"/>
      <c r="BZ60" s="128"/>
      <c r="CA60" s="128"/>
      <c r="CB60" s="128"/>
      <c r="CC60" s="128"/>
    </row>
    <row r="61" spans="1:8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350"/>
      <c r="P61" s="350"/>
      <c r="Q61" s="350"/>
      <c r="R61" s="350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1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350"/>
      <c r="BC61" s="350"/>
      <c r="BD61" s="350"/>
      <c r="BE61" s="350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</row>
    <row r="62" spans="1:8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350"/>
      <c r="P62" s="350"/>
      <c r="Q62" s="350"/>
      <c r="R62" s="350"/>
      <c r="S62" s="118"/>
      <c r="T62" s="11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1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S62" s="128"/>
      <c r="AT62" s="128"/>
      <c r="AU62" s="128"/>
      <c r="AV62" s="128"/>
      <c r="AW62" s="128"/>
      <c r="AX62" s="128"/>
      <c r="AY62" s="128"/>
      <c r="AZ62" s="128"/>
      <c r="BA62" s="128"/>
      <c r="BB62" s="350"/>
      <c r="BC62" s="350"/>
      <c r="BD62" s="350"/>
      <c r="BE62" s="350"/>
      <c r="BF62" s="118"/>
      <c r="BG62" s="118"/>
      <c r="BH62" s="128"/>
      <c r="BI62" s="128"/>
      <c r="BJ62" s="128"/>
      <c r="BK62" s="128"/>
      <c r="BL62" s="128"/>
      <c r="BM62" s="128"/>
      <c r="BN62" s="128"/>
      <c r="BO62" s="128"/>
    </row>
    <row r="63" spans="1:81">
      <c r="A63" s="128"/>
      <c r="B63" s="32"/>
      <c r="C63" s="116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1"/>
      <c r="AH63" s="128"/>
      <c r="AI63" s="128"/>
      <c r="AJ63" s="128"/>
      <c r="AK63" s="128"/>
      <c r="AL63" s="128"/>
      <c r="AM63" s="128"/>
      <c r="AN63" s="128"/>
      <c r="AO63" s="32"/>
      <c r="AP63" s="116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28"/>
      <c r="BE63" s="128"/>
      <c r="BF63" s="128"/>
      <c r="BG63" s="128"/>
      <c r="BH63" s="128"/>
      <c r="BI63" s="128"/>
      <c r="BJ63" s="128"/>
      <c r="BK63" s="128"/>
      <c r="BL63" s="128"/>
      <c r="BM63" s="128"/>
      <c r="BN63" s="128"/>
      <c r="BO63" s="128"/>
    </row>
    <row r="64" spans="1:81">
      <c r="A64" s="128"/>
      <c r="B64" s="32"/>
      <c r="C64" s="128"/>
      <c r="D64" s="116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206"/>
      <c r="P64" s="206"/>
      <c r="Q64" s="206"/>
      <c r="R64" s="206"/>
      <c r="S64" s="119"/>
      <c r="T64" s="119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1"/>
      <c r="AH64" s="128"/>
      <c r="AI64" s="128"/>
      <c r="AJ64" s="128"/>
      <c r="AK64" s="128"/>
      <c r="AL64" s="128"/>
      <c r="AM64" s="128"/>
      <c r="AN64" s="128"/>
      <c r="AO64" s="32"/>
      <c r="AP64" s="128"/>
      <c r="AQ64" s="116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206"/>
      <c r="BC64" s="206"/>
      <c r="BD64" s="206"/>
      <c r="BE64" s="206"/>
      <c r="BF64" s="119"/>
      <c r="BG64" s="119"/>
      <c r="BH64" s="128"/>
      <c r="BI64" s="128"/>
      <c r="BJ64" s="128"/>
      <c r="BK64" s="128"/>
      <c r="BL64" s="128"/>
      <c r="BM64" s="128"/>
      <c r="BN64" s="128"/>
      <c r="BO64" s="128"/>
    </row>
    <row r="65" spans="1:82">
      <c r="A65" s="128"/>
      <c r="B65" s="32"/>
      <c r="C65" s="116"/>
      <c r="D65" s="116"/>
      <c r="E65" s="116"/>
      <c r="F65" s="116"/>
      <c r="G65" s="116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1"/>
      <c r="AH65" s="128"/>
      <c r="AI65" s="128"/>
      <c r="AJ65" s="128"/>
      <c r="AK65" s="128"/>
      <c r="AL65" s="128"/>
      <c r="AM65" s="128"/>
      <c r="AN65" s="128"/>
      <c r="AO65" s="32"/>
      <c r="AP65" s="116"/>
      <c r="AQ65" s="116"/>
      <c r="AR65" s="116"/>
      <c r="AS65" s="116"/>
      <c r="AT65" s="116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8"/>
      <c r="BN65" s="128"/>
      <c r="BO65" s="128"/>
    </row>
    <row r="66" spans="1:82">
      <c r="A66" s="128"/>
      <c r="B66" s="32"/>
      <c r="C66" s="116"/>
      <c r="D66" s="116"/>
      <c r="E66" s="116"/>
      <c r="F66" s="116"/>
      <c r="G66" s="116"/>
      <c r="H66" s="128"/>
      <c r="I66" s="128"/>
      <c r="J66" s="128"/>
      <c r="K66" s="128"/>
      <c r="L66" s="128"/>
      <c r="M66" s="128"/>
      <c r="N66" s="128"/>
      <c r="O66" s="450"/>
      <c r="P66" s="450"/>
      <c r="Q66" s="450"/>
      <c r="R66" s="450"/>
      <c r="S66" s="119"/>
      <c r="T66" s="119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1"/>
      <c r="AH66" s="128"/>
      <c r="AI66" s="128"/>
      <c r="AJ66" s="128"/>
      <c r="AK66" s="128"/>
      <c r="AL66" s="128"/>
      <c r="AM66" s="128"/>
      <c r="AN66" s="128"/>
      <c r="AO66" s="32"/>
      <c r="AP66" s="116"/>
      <c r="AQ66" s="116"/>
      <c r="AR66" s="116"/>
      <c r="AS66" s="116"/>
      <c r="AT66" s="116"/>
      <c r="AU66" s="128"/>
      <c r="AV66" s="128"/>
      <c r="AW66" s="128"/>
      <c r="AX66" s="128"/>
      <c r="AY66" s="128"/>
      <c r="AZ66" s="128"/>
      <c r="BA66" s="128"/>
      <c r="BB66" s="450"/>
      <c r="BC66" s="450"/>
      <c r="BD66" s="450"/>
      <c r="BE66" s="450"/>
      <c r="BF66" s="119"/>
      <c r="BG66" s="119"/>
      <c r="BH66" s="128"/>
      <c r="BI66" s="128"/>
      <c r="BJ66" s="128"/>
      <c r="BK66" s="128"/>
      <c r="BL66" s="128"/>
      <c r="BM66" s="128"/>
      <c r="BN66" s="128"/>
      <c r="BO66" s="128"/>
    </row>
    <row r="67" spans="1:82">
      <c r="A67" s="128"/>
      <c r="B67" s="32"/>
      <c r="C67" s="116"/>
      <c r="D67" s="116"/>
      <c r="E67" s="116"/>
      <c r="F67" s="116"/>
      <c r="G67" s="116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1"/>
      <c r="AH67" s="128"/>
      <c r="AI67" s="128"/>
      <c r="AJ67" s="128"/>
      <c r="AK67" s="128"/>
      <c r="AL67" s="128"/>
      <c r="AM67" s="128"/>
      <c r="AN67" s="128"/>
      <c r="AO67" s="32"/>
      <c r="AP67" s="116"/>
      <c r="AQ67" s="116"/>
      <c r="AR67" s="116"/>
      <c r="AS67" s="116"/>
      <c r="AT67" s="116"/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8"/>
      <c r="BH67" s="128"/>
      <c r="BI67" s="128"/>
      <c r="BJ67" s="128"/>
      <c r="BK67" s="128"/>
      <c r="BL67" s="128"/>
      <c r="BM67" s="128"/>
      <c r="BN67" s="128"/>
      <c r="BO67" s="128"/>
    </row>
    <row r="68" spans="1:82">
      <c r="A68" s="128"/>
      <c r="B68" s="32"/>
      <c r="C68" s="128"/>
      <c r="D68" s="116"/>
      <c r="E68" s="116"/>
      <c r="F68" s="116"/>
      <c r="G68" s="116"/>
      <c r="H68" s="128"/>
      <c r="I68" s="128"/>
      <c r="J68" s="128"/>
      <c r="K68" s="128"/>
      <c r="L68" s="128"/>
      <c r="M68" s="128"/>
      <c r="N68" s="128"/>
      <c r="O68" s="450"/>
      <c r="P68" s="450"/>
      <c r="Q68" s="450"/>
      <c r="R68" s="450"/>
      <c r="S68" s="119"/>
      <c r="T68" s="119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1"/>
      <c r="AH68" s="128"/>
      <c r="AI68" s="128"/>
      <c r="AJ68" s="128"/>
      <c r="AK68" s="128"/>
      <c r="AL68" s="128"/>
      <c r="AM68" s="128"/>
      <c r="AN68" s="128"/>
      <c r="AO68" s="32"/>
      <c r="AP68" s="128"/>
      <c r="AQ68" s="116"/>
      <c r="AR68" s="116"/>
      <c r="AS68" s="116"/>
      <c r="AT68" s="116"/>
      <c r="AU68" s="128"/>
      <c r="AV68" s="128"/>
      <c r="AW68" s="128"/>
      <c r="AX68" s="128"/>
      <c r="AY68" s="128"/>
      <c r="AZ68" s="128"/>
      <c r="BA68" s="128"/>
      <c r="BB68" s="450"/>
      <c r="BC68" s="450"/>
      <c r="BD68" s="450"/>
      <c r="BE68" s="450"/>
      <c r="BF68" s="119"/>
      <c r="BG68" s="119"/>
      <c r="BH68" s="128"/>
      <c r="BI68" s="128"/>
      <c r="BJ68" s="128"/>
      <c r="BK68" s="128"/>
      <c r="BL68" s="128"/>
      <c r="BM68" s="128"/>
      <c r="BN68" s="128"/>
      <c r="BO68" s="128"/>
      <c r="CB68" s="128"/>
      <c r="CC68" s="128"/>
      <c r="CD68" s="128"/>
    </row>
    <row r="69" spans="1:82">
      <c r="A69" s="128"/>
      <c r="B69" s="32"/>
      <c r="C69" s="116"/>
      <c r="D69" s="128"/>
      <c r="E69" s="116"/>
      <c r="F69" s="116"/>
      <c r="G69" s="116"/>
      <c r="H69" s="128"/>
      <c r="I69" s="128"/>
      <c r="J69" s="128"/>
      <c r="K69" s="128"/>
      <c r="L69" s="128"/>
      <c r="M69" s="128"/>
      <c r="N69" s="128"/>
      <c r="O69" s="117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1"/>
      <c r="AH69" s="128"/>
      <c r="AI69" s="128"/>
      <c r="AJ69" s="128"/>
      <c r="AK69" s="128"/>
      <c r="AL69" s="128"/>
      <c r="AM69" s="128"/>
      <c r="AN69" s="128"/>
      <c r="AO69" s="32"/>
      <c r="AP69" s="116"/>
      <c r="AQ69" s="128"/>
      <c r="AR69" s="116"/>
      <c r="AS69" s="116"/>
      <c r="AT69" s="116"/>
      <c r="AU69" s="128"/>
      <c r="AV69" s="128"/>
      <c r="AW69" s="128"/>
      <c r="AX69" s="128"/>
      <c r="AY69" s="128"/>
      <c r="AZ69" s="128"/>
      <c r="BA69" s="128"/>
      <c r="BB69" s="117"/>
      <c r="BC69" s="128"/>
      <c r="BD69" s="128"/>
      <c r="BE69" s="128"/>
      <c r="BF69" s="128"/>
      <c r="BG69" s="128"/>
      <c r="BH69" s="128"/>
      <c r="BI69" s="128"/>
      <c r="BJ69" s="128"/>
      <c r="BK69" s="128"/>
      <c r="BL69" s="128"/>
      <c r="BM69" s="128"/>
      <c r="BN69" s="128"/>
      <c r="BO69" s="128"/>
      <c r="CB69" s="128"/>
      <c r="CC69" s="128"/>
      <c r="CD69" s="128"/>
    </row>
    <row r="70" spans="1:82">
      <c r="A70" s="128"/>
      <c r="B70" s="32"/>
      <c r="C70" s="116"/>
      <c r="D70" s="116"/>
      <c r="E70" s="116"/>
      <c r="F70" s="116"/>
      <c r="G70" s="116"/>
      <c r="H70" s="128"/>
      <c r="I70" s="128"/>
      <c r="J70" s="128"/>
      <c r="K70" s="128"/>
      <c r="L70" s="128"/>
      <c r="M70" s="128"/>
      <c r="N70" s="128"/>
      <c r="O70" s="450"/>
      <c r="P70" s="450"/>
      <c r="Q70" s="450"/>
      <c r="R70" s="450"/>
      <c r="S70" s="119"/>
      <c r="T70" s="119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1"/>
      <c r="AH70" s="128"/>
      <c r="AI70" s="128"/>
      <c r="AJ70" s="128"/>
      <c r="AK70" s="128"/>
      <c r="AL70" s="128"/>
      <c r="AM70" s="128"/>
      <c r="AN70" s="128"/>
      <c r="AO70" s="32"/>
      <c r="AP70" s="116"/>
      <c r="AQ70" s="116"/>
      <c r="AR70" s="116"/>
      <c r="AS70" s="116"/>
      <c r="AT70" s="116"/>
      <c r="AU70" s="128"/>
      <c r="AV70" s="128"/>
      <c r="AW70" s="128"/>
      <c r="AX70" s="128"/>
      <c r="AY70" s="128"/>
      <c r="AZ70" s="128"/>
      <c r="BA70" s="128"/>
      <c r="BB70" s="450"/>
      <c r="BC70" s="450"/>
      <c r="BD70" s="450"/>
      <c r="BE70" s="450"/>
      <c r="BF70" s="119"/>
      <c r="BG70" s="119"/>
      <c r="BH70" s="128"/>
      <c r="BI70" s="128"/>
      <c r="BJ70" s="128"/>
      <c r="BK70" s="128"/>
      <c r="BL70" s="128"/>
      <c r="BM70" s="128"/>
      <c r="BN70" s="128"/>
      <c r="BO70" s="128"/>
      <c r="CB70" s="128"/>
      <c r="CC70" s="128"/>
      <c r="CD70" s="128"/>
    </row>
    <row r="71" spans="1:82">
      <c r="A71" s="128"/>
      <c r="B71" s="32"/>
      <c r="C71" s="128"/>
      <c r="D71" s="116"/>
      <c r="E71" s="116"/>
      <c r="F71" s="116"/>
      <c r="G71" s="116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1"/>
      <c r="AH71" s="128"/>
      <c r="AI71" s="128"/>
      <c r="AJ71" s="128"/>
      <c r="AK71" s="128"/>
      <c r="AL71" s="128"/>
      <c r="AM71" s="128"/>
      <c r="AN71" s="128"/>
      <c r="AO71" s="32"/>
      <c r="AP71" s="128"/>
      <c r="AQ71" s="116"/>
      <c r="AR71" s="116"/>
      <c r="AS71" s="116"/>
      <c r="AT71" s="116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8"/>
      <c r="BF71" s="128"/>
      <c r="BG71" s="128"/>
      <c r="BH71" s="128"/>
      <c r="BI71" s="128"/>
      <c r="BJ71" s="128"/>
      <c r="BK71" s="128"/>
      <c r="BL71" s="128"/>
      <c r="BM71" s="128"/>
      <c r="BN71" s="128"/>
      <c r="BO71" s="128"/>
      <c r="CB71" s="128"/>
      <c r="CC71" s="128"/>
      <c r="CD71" s="128"/>
    </row>
    <row r="72" spans="1:82">
      <c r="A72" s="128"/>
      <c r="B72" s="128"/>
      <c r="C72" s="116"/>
      <c r="D72" s="128"/>
      <c r="E72" s="116"/>
      <c r="F72" s="116"/>
      <c r="G72" s="116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11"/>
      <c r="AH72" s="128"/>
      <c r="AI72" s="128"/>
      <c r="AJ72" s="128"/>
      <c r="AK72" s="128"/>
      <c r="AL72" s="128"/>
      <c r="AM72" s="128"/>
      <c r="AN72" s="128"/>
      <c r="AO72" s="128"/>
      <c r="AP72" s="116"/>
      <c r="AQ72" s="128"/>
      <c r="AR72" s="116"/>
      <c r="AS72" s="116"/>
      <c r="AT72" s="116"/>
      <c r="AU72" s="128"/>
      <c r="AV72" s="128"/>
      <c r="AW72" s="128"/>
      <c r="AX72" s="128"/>
      <c r="AY72" s="128"/>
      <c r="AZ72" s="128"/>
      <c r="BA72" s="128"/>
      <c r="BB72" s="128"/>
      <c r="BC72" s="128"/>
      <c r="BD72" s="128"/>
      <c r="BE72" s="128"/>
      <c r="BF72" s="128"/>
      <c r="BG72" s="128"/>
      <c r="BH72" s="128"/>
      <c r="BI72" s="128"/>
      <c r="BJ72" s="128"/>
      <c r="BK72" s="128"/>
      <c r="BL72" s="128"/>
      <c r="BM72" s="128"/>
      <c r="BN72" s="128"/>
      <c r="BO72" s="128"/>
      <c r="CB72" s="128"/>
      <c r="CC72" s="128"/>
      <c r="CD72" s="128"/>
    </row>
    <row r="73" spans="1:82">
      <c r="A73" s="128"/>
      <c r="B73" s="128"/>
      <c r="C73" s="116"/>
      <c r="D73" s="116"/>
      <c r="E73" s="116"/>
      <c r="F73" s="116"/>
      <c r="G73" s="116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1"/>
      <c r="AH73" s="128"/>
      <c r="AI73" s="128"/>
      <c r="AJ73" s="128"/>
      <c r="AK73" s="128"/>
      <c r="AL73" s="128"/>
      <c r="AM73" s="128"/>
      <c r="AN73" s="128"/>
      <c r="AO73" s="128"/>
      <c r="AP73" s="116"/>
      <c r="AQ73" s="116"/>
      <c r="AR73" s="116"/>
      <c r="AS73" s="116"/>
      <c r="AT73" s="116"/>
      <c r="AU73" s="128"/>
      <c r="AV73" s="128"/>
      <c r="AW73" s="128"/>
      <c r="AX73" s="128"/>
      <c r="AY73" s="128"/>
      <c r="AZ73" s="128"/>
      <c r="BA73" s="128"/>
      <c r="BB73" s="128"/>
      <c r="BC73" s="128"/>
      <c r="BD73" s="128"/>
      <c r="BE73" s="128"/>
      <c r="BF73" s="128"/>
      <c r="BG73" s="128"/>
      <c r="BH73" s="128"/>
      <c r="BI73" s="128"/>
      <c r="BJ73" s="128"/>
      <c r="BK73" s="128"/>
      <c r="BL73" s="128"/>
      <c r="BM73" s="128"/>
      <c r="BN73" s="128"/>
      <c r="BO73" s="128"/>
    </row>
    <row r="74" spans="1:82">
      <c r="A74" s="128"/>
      <c r="B74" s="128"/>
      <c r="C74" s="128"/>
      <c r="D74" s="116"/>
      <c r="E74" s="116"/>
      <c r="F74" s="116"/>
      <c r="G74" s="116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1"/>
      <c r="AH74" s="128"/>
      <c r="AI74" s="128"/>
      <c r="AJ74" s="128"/>
      <c r="AK74" s="128"/>
      <c r="AL74" s="128"/>
      <c r="AM74" s="128"/>
      <c r="AN74" s="128"/>
      <c r="AO74" s="128"/>
      <c r="AP74" s="128"/>
      <c r="AQ74" s="116"/>
      <c r="AR74" s="116"/>
      <c r="AS74" s="116"/>
      <c r="AT74" s="116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28"/>
      <c r="BK74" s="128"/>
      <c r="BL74" s="128"/>
      <c r="BM74" s="128"/>
      <c r="BN74" s="128"/>
      <c r="BO74" s="128"/>
    </row>
    <row r="75" spans="1:82">
      <c r="A75" s="128"/>
      <c r="B75" s="128"/>
      <c r="C75" s="116"/>
      <c r="D75" s="128"/>
      <c r="E75" s="116"/>
      <c r="F75" s="116"/>
      <c r="G75" s="116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1"/>
      <c r="AH75" s="128"/>
      <c r="AI75" s="128"/>
      <c r="AJ75" s="128"/>
      <c r="AK75" s="128"/>
      <c r="AL75" s="128"/>
      <c r="AM75" s="128"/>
      <c r="AN75" s="128"/>
      <c r="AO75" s="128"/>
      <c r="AP75" s="116"/>
      <c r="AQ75" s="128"/>
      <c r="AR75" s="116"/>
      <c r="AS75" s="116"/>
      <c r="AT75" s="116"/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8"/>
      <c r="BN75" s="128"/>
      <c r="BO75" s="128"/>
    </row>
    <row r="76" spans="1:82">
      <c r="A76" s="128"/>
      <c r="B76" s="128"/>
      <c r="C76" s="116"/>
      <c r="D76" s="116"/>
      <c r="E76" s="116"/>
      <c r="F76" s="116"/>
      <c r="G76" s="116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1"/>
      <c r="AH76" s="128"/>
      <c r="AI76" s="128"/>
      <c r="AJ76" s="128"/>
      <c r="AK76" s="128"/>
      <c r="AL76" s="128"/>
      <c r="AM76" s="128"/>
      <c r="AN76" s="128"/>
      <c r="AO76" s="128"/>
      <c r="AP76" s="116"/>
      <c r="AQ76" s="116"/>
      <c r="AR76" s="116"/>
      <c r="AS76" s="116"/>
      <c r="AT76" s="116"/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28"/>
      <c r="BK76" s="128"/>
      <c r="BL76" s="128"/>
      <c r="BM76" s="128"/>
      <c r="BN76" s="128"/>
      <c r="BO76" s="128"/>
    </row>
    <row r="77" spans="1:82">
      <c r="A77" s="128"/>
      <c r="B77" s="128"/>
      <c r="C77" s="128"/>
      <c r="D77" s="116"/>
      <c r="E77" s="116"/>
      <c r="F77" s="116"/>
      <c r="G77" s="116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1"/>
      <c r="AH77" s="128"/>
      <c r="AI77" s="128"/>
      <c r="AJ77" s="128"/>
      <c r="AK77" s="128"/>
      <c r="AL77" s="128"/>
      <c r="AM77" s="128"/>
      <c r="AN77" s="128"/>
      <c r="AO77" s="128"/>
      <c r="AP77" s="128"/>
      <c r="AQ77" s="116"/>
      <c r="AR77" s="116"/>
      <c r="AS77" s="116"/>
      <c r="AT77" s="116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</row>
    <row r="78" spans="1:82">
      <c r="A78" s="128"/>
      <c r="B78" s="128"/>
      <c r="C78" s="116"/>
      <c r="D78" s="116"/>
      <c r="E78" s="116"/>
      <c r="F78" s="116"/>
      <c r="G78" s="116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1"/>
      <c r="AH78" s="128"/>
      <c r="AI78" s="128"/>
      <c r="AJ78" s="128"/>
      <c r="AK78" s="128"/>
      <c r="AL78" s="128"/>
      <c r="AM78" s="128"/>
      <c r="AN78" s="128"/>
      <c r="AO78" s="128"/>
      <c r="AP78" s="116"/>
      <c r="AQ78" s="116"/>
      <c r="AR78" s="116"/>
      <c r="AS78" s="116"/>
      <c r="AT78" s="116"/>
      <c r="AU78" s="128"/>
      <c r="AV78" s="128"/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/>
      <c r="BI78" s="128"/>
      <c r="BJ78" s="128"/>
      <c r="BK78" s="128"/>
      <c r="BL78" s="128"/>
      <c r="BM78" s="128"/>
      <c r="BN78" s="128"/>
      <c r="BO78" s="128"/>
    </row>
    <row r="79" spans="1:82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1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  <c r="BM79" s="128"/>
      <c r="BN79" s="128"/>
      <c r="BO79" s="128"/>
    </row>
    <row r="80" spans="1:82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1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/>
      <c r="BM80" s="128"/>
      <c r="BN80" s="128"/>
      <c r="BO80" s="128"/>
    </row>
    <row r="81" spans="1:67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1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</row>
    <row r="82" spans="1:67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1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8"/>
      <c r="BH82" s="128"/>
      <c r="BI82" s="128"/>
      <c r="BJ82" s="128"/>
      <c r="BK82" s="128"/>
      <c r="BL82" s="128"/>
      <c r="BM82" s="128"/>
      <c r="BN82" s="128"/>
      <c r="BO82" s="128"/>
    </row>
    <row r="83" spans="1:67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1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28"/>
      <c r="BD83" s="128"/>
      <c r="BE83" s="128"/>
      <c r="BF83" s="128"/>
      <c r="BG83" s="128"/>
      <c r="BH83" s="128"/>
      <c r="BI83" s="128"/>
      <c r="BJ83" s="128"/>
      <c r="BK83" s="128"/>
      <c r="BL83" s="128"/>
      <c r="BM83" s="128"/>
      <c r="BN83" s="128"/>
      <c r="BO83" s="128"/>
    </row>
    <row r="84" spans="1:67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1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</row>
  </sheetData>
  <mergeCells count="430">
    <mergeCell ref="O66:R66"/>
    <mergeCell ref="BB66:BE66"/>
    <mergeCell ref="O68:R68"/>
    <mergeCell ref="BB68:BE68"/>
    <mergeCell ref="O70:R70"/>
    <mergeCell ref="BB70:BE70"/>
    <mergeCell ref="O61:R61"/>
    <mergeCell ref="BB61:BE61"/>
    <mergeCell ref="O62:R62"/>
    <mergeCell ref="BB62:BE62"/>
    <mergeCell ref="O64:R64"/>
    <mergeCell ref="BB64:BE64"/>
    <mergeCell ref="X54:Y54"/>
    <mergeCell ref="Z54:AB54"/>
    <mergeCell ref="BK54:BL54"/>
    <mergeCell ref="BM54:BO54"/>
    <mergeCell ref="X55:Y55"/>
    <mergeCell ref="Z55:AB55"/>
    <mergeCell ref="BK55:BL55"/>
    <mergeCell ref="BM55:BO55"/>
    <mergeCell ref="X52:Y52"/>
    <mergeCell ref="Z52:AB52"/>
    <mergeCell ref="BK52:BL52"/>
    <mergeCell ref="BM52:BO52"/>
    <mergeCell ref="X53:Y53"/>
    <mergeCell ref="Z53:AB53"/>
    <mergeCell ref="BK53:BL53"/>
    <mergeCell ref="BM53:BO53"/>
    <mergeCell ref="X50:Y50"/>
    <mergeCell ref="Z50:AB50"/>
    <mergeCell ref="X51:Y51"/>
    <mergeCell ref="Z51:AB51"/>
    <mergeCell ref="BK51:BL51"/>
    <mergeCell ref="BM51:BO51"/>
    <mergeCell ref="BC44:BD44"/>
    <mergeCell ref="BE44:BF44"/>
    <mergeCell ref="AD46:AI46"/>
    <mergeCell ref="BQ46:BV46"/>
    <mergeCell ref="V48:AA48"/>
    <mergeCell ref="BI49:BN49"/>
    <mergeCell ref="L44:M44"/>
    <mergeCell ref="N44:O44"/>
    <mergeCell ref="P44:Q44"/>
    <mergeCell ref="R44:S44"/>
    <mergeCell ref="AY44:AZ44"/>
    <mergeCell ref="BA44:BB44"/>
    <mergeCell ref="AY41:AZ41"/>
    <mergeCell ref="BA41:BB41"/>
    <mergeCell ref="BC41:BD41"/>
    <mergeCell ref="BE41:BF41"/>
    <mergeCell ref="BC42:BD42"/>
    <mergeCell ref="BE42:BF42"/>
    <mergeCell ref="BG42:BJ42"/>
    <mergeCell ref="L43:M43"/>
    <mergeCell ref="N43:O43"/>
    <mergeCell ref="P43:S43"/>
    <mergeCell ref="AY43:AZ43"/>
    <mergeCell ref="BA43:BB43"/>
    <mergeCell ref="BC43:BF43"/>
    <mergeCell ref="J42:K42"/>
    <mergeCell ref="L42:M42"/>
    <mergeCell ref="N42:O42"/>
    <mergeCell ref="P42:Q42"/>
    <mergeCell ref="R42:S42"/>
    <mergeCell ref="T42:W42"/>
    <mergeCell ref="AW42:AX42"/>
    <mergeCell ref="AY42:AZ42"/>
    <mergeCell ref="BA42:BB42"/>
    <mergeCell ref="G40:H40"/>
    <mergeCell ref="J40:K40"/>
    <mergeCell ref="L40:M40"/>
    <mergeCell ref="N40:O40"/>
    <mergeCell ref="P40:Q40"/>
    <mergeCell ref="BC40:BD40"/>
    <mergeCell ref="BE40:BF40"/>
    <mergeCell ref="BG40:BJ40"/>
    <mergeCell ref="G41:H41"/>
    <mergeCell ref="J41:K41"/>
    <mergeCell ref="L41:M41"/>
    <mergeCell ref="N41:O41"/>
    <mergeCell ref="P41:Q41"/>
    <mergeCell ref="R41:S41"/>
    <mergeCell ref="T41:W41"/>
    <mergeCell ref="R40:S40"/>
    <mergeCell ref="T40:W40"/>
    <mergeCell ref="AT40:AU40"/>
    <mergeCell ref="AW40:AX40"/>
    <mergeCell ref="AY40:AZ40"/>
    <mergeCell ref="BA40:BB40"/>
    <mergeCell ref="BG41:BJ41"/>
    <mergeCell ref="AT41:AU41"/>
    <mergeCell ref="AW41:AX41"/>
    <mergeCell ref="BH38:BS38"/>
    <mergeCell ref="G39:H39"/>
    <mergeCell ref="J39:K39"/>
    <mergeCell ref="L39:M39"/>
    <mergeCell ref="N39:O39"/>
    <mergeCell ref="P39:Q39"/>
    <mergeCell ref="R39:S39"/>
    <mergeCell ref="T39:W39"/>
    <mergeCell ref="AT39:AU39"/>
    <mergeCell ref="AW39:AX39"/>
    <mergeCell ref="U38:AF38"/>
    <mergeCell ref="AW38:AX38"/>
    <mergeCell ref="AY38:AZ38"/>
    <mergeCell ref="BA38:BB38"/>
    <mergeCell ref="BC38:BD38"/>
    <mergeCell ref="BE38:BF38"/>
    <mergeCell ref="AY39:AZ39"/>
    <mergeCell ref="BA39:BB39"/>
    <mergeCell ref="BC39:BD39"/>
    <mergeCell ref="BE39:BF39"/>
    <mergeCell ref="BG39:BJ39"/>
    <mergeCell ref="AW37:AX37"/>
    <mergeCell ref="AY37:AZ37"/>
    <mergeCell ref="BA37:BB37"/>
    <mergeCell ref="BC37:BD37"/>
    <mergeCell ref="BE37:BF37"/>
    <mergeCell ref="J38:K38"/>
    <mergeCell ref="L38:M38"/>
    <mergeCell ref="N38:O38"/>
    <mergeCell ref="P38:Q38"/>
    <mergeCell ref="R38:S38"/>
    <mergeCell ref="J37:K37"/>
    <mergeCell ref="L37:M37"/>
    <mergeCell ref="N37:O37"/>
    <mergeCell ref="P37:Q37"/>
    <mergeCell ref="R37:S37"/>
    <mergeCell ref="U37:AF37"/>
    <mergeCell ref="BH35:BI35"/>
    <mergeCell ref="BJ35:BW36"/>
    <mergeCell ref="J36:K36"/>
    <mergeCell ref="L36:M36"/>
    <mergeCell ref="N36:O36"/>
    <mergeCell ref="P36:Q36"/>
    <mergeCell ref="R36:S36"/>
    <mergeCell ref="AW36:AX36"/>
    <mergeCell ref="AY36:AZ36"/>
    <mergeCell ref="BA36:BB36"/>
    <mergeCell ref="W35:AJ36"/>
    <mergeCell ref="AW35:AX35"/>
    <mergeCell ref="AY35:AZ35"/>
    <mergeCell ref="BA35:BB35"/>
    <mergeCell ref="BC35:BD35"/>
    <mergeCell ref="BE35:BF35"/>
    <mergeCell ref="BC36:BD36"/>
    <mergeCell ref="BE36:BF36"/>
    <mergeCell ref="J35:K35"/>
    <mergeCell ref="L35:M35"/>
    <mergeCell ref="N35:O35"/>
    <mergeCell ref="P35:Q35"/>
    <mergeCell ref="R35:S35"/>
    <mergeCell ref="U35:V35"/>
    <mergeCell ref="AW34:AX34"/>
    <mergeCell ref="AY34:AZ34"/>
    <mergeCell ref="BA34:BB34"/>
    <mergeCell ref="BC34:BD34"/>
    <mergeCell ref="BE34:BF34"/>
    <mergeCell ref="BH34:BI34"/>
    <mergeCell ref="AY33:AZ33"/>
    <mergeCell ref="BA33:BB33"/>
    <mergeCell ref="BC33:BD33"/>
    <mergeCell ref="BE33:BF33"/>
    <mergeCell ref="AW33:AX33"/>
    <mergeCell ref="J34:K34"/>
    <mergeCell ref="L34:M34"/>
    <mergeCell ref="N34:O34"/>
    <mergeCell ref="P34:Q34"/>
    <mergeCell ref="R34:S34"/>
    <mergeCell ref="U34:V34"/>
    <mergeCell ref="J33:K33"/>
    <mergeCell ref="L33:M33"/>
    <mergeCell ref="N33:O33"/>
    <mergeCell ref="P33:Q33"/>
    <mergeCell ref="R33:S33"/>
    <mergeCell ref="L31:O31"/>
    <mergeCell ref="P31:S32"/>
    <mergeCell ref="AY31:BB31"/>
    <mergeCell ref="BC31:BF32"/>
    <mergeCell ref="L32:M32"/>
    <mergeCell ref="N32:O32"/>
    <mergeCell ref="AY32:AZ32"/>
    <mergeCell ref="BA32:BB32"/>
    <mergeCell ref="J30:K30"/>
    <mergeCell ref="L30:O30"/>
    <mergeCell ref="P30:S30"/>
    <mergeCell ref="AD30:AE30"/>
    <mergeCell ref="AF30:AG30"/>
    <mergeCell ref="AW30:AX30"/>
    <mergeCell ref="AW28:AX28"/>
    <mergeCell ref="AW29:AX29"/>
    <mergeCell ref="AY29:BB29"/>
    <mergeCell ref="BC29:BF29"/>
    <mergeCell ref="BH29:BI30"/>
    <mergeCell ref="BQ29:BR29"/>
    <mergeCell ref="BS29:BT29"/>
    <mergeCell ref="AY30:BB30"/>
    <mergeCell ref="BC30:BF30"/>
    <mergeCell ref="BQ30:BR30"/>
    <mergeCell ref="BS30:BT30"/>
    <mergeCell ref="J29:K29"/>
    <mergeCell ref="L29:O29"/>
    <mergeCell ref="P29:S29"/>
    <mergeCell ref="U29:V30"/>
    <mergeCell ref="AD29:AE29"/>
    <mergeCell ref="AF29:AG29"/>
    <mergeCell ref="J28:K28"/>
    <mergeCell ref="L28:O28"/>
    <mergeCell ref="P28:S28"/>
    <mergeCell ref="AD28:AE28"/>
    <mergeCell ref="AF28:AG28"/>
    <mergeCell ref="BS27:BT27"/>
    <mergeCell ref="AY26:BB26"/>
    <mergeCell ref="BC26:BF26"/>
    <mergeCell ref="BQ26:BR26"/>
    <mergeCell ref="BS26:BT26"/>
    <mergeCell ref="AY28:BB28"/>
    <mergeCell ref="BC28:BF28"/>
    <mergeCell ref="BQ28:BR28"/>
    <mergeCell ref="BS28:BT28"/>
    <mergeCell ref="J27:K27"/>
    <mergeCell ref="L27:O27"/>
    <mergeCell ref="P27:S27"/>
    <mergeCell ref="U27:V27"/>
    <mergeCell ref="AD27:AE27"/>
    <mergeCell ref="AF27:AG27"/>
    <mergeCell ref="AY25:BB25"/>
    <mergeCell ref="BC25:BF25"/>
    <mergeCell ref="BQ25:BR25"/>
    <mergeCell ref="AW27:AX27"/>
    <mergeCell ref="AY27:BB27"/>
    <mergeCell ref="BC27:BF27"/>
    <mergeCell ref="BH27:BI27"/>
    <mergeCell ref="BQ27:BR27"/>
    <mergeCell ref="J26:K26"/>
    <mergeCell ref="L26:O26"/>
    <mergeCell ref="P26:S26"/>
    <mergeCell ref="AD26:AE26"/>
    <mergeCell ref="AF26:AG26"/>
    <mergeCell ref="AW26:AX26"/>
    <mergeCell ref="J25:K25"/>
    <mergeCell ref="L25:O25"/>
    <mergeCell ref="P25:S25"/>
    <mergeCell ref="AD25:AE25"/>
    <mergeCell ref="AF25:AG25"/>
    <mergeCell ref="AW25:AX25"/>
    <mergeCell ref="J24:K24"/>
    <mergeCell ref="L24:O24"/>
    <mergeCell ref="P24:S24"/>
    <mergeCell ref="U24:V24"/>
    <mergeCell ref="AD24:AE24"/>
    <mergeCell ref="AF24:AG24"/>
    <mergeCell ref="AW24:AX24"/>
    <mergeCell ref="BS25:BT25"/>
    <mergeCell ref="BS24:BT24"/>
    <mergeCell ref="L22:O22"/>
    <mergeCell ref="P22:S22"/>
    <mergeCell ref="AD22:AE22"/>
    <mergeCell ref="AF22:AG22"/>
    <mergeCell ref="AY22:BB22"/>
    <mergeCell ref="BC22:BF22"/>
    <mergeCell ref="BQ22:BR22"/>
    <mergeCell ref="BS22:BT22"/>
    <mergeCell ref="BS23:BT23"/>
    <mergeCell ref="BC24:BF24"/>
    <mergeCell ref="BH24:BI24"/>
    <mergeCell ref="BQ24:BR24"/>
    <mergeCell ref="AY24:BB24"/>
    <mergeCell ref="J23:K23"/>
    <mergeCell ref="L23:O23"/>
    <mergeCell ref="P23:S23"/>
    <mergeCell ref="AD23:AE23"/>
    <mergeCell ref="AF23:AG23"/>
    <mergeCell ref="AW23:AX23"/>
    <mergeCell ref="AY23:BB23"/>
    <mergeCell ref="BC23:BF23"/>
    <mergeCell ref="BQ23:BR23"/>
    <mergeCell ref="BQ20:BT20"/>
    <mergeCell ref="BU20:BV20"/>
    <mergeCell ref="BC19:BD19"/>
    <mergeCell ref="BE19:BF19"/>
    <mergeCell ref="BH19:BI20"/>
    <mergeCell ref="AD21:AE21"/>
    <mergeCell ref="AF21:AG21"/>
    <mergeCell ref="BQ21:BR21"/>
    <mergeCell ref="BS21:BT21"/>
    <mergeCell ref="AR19:AS19"/>
    <mergeCell ref="AT19:AU19"/>
    <mergeCell ref="AW19:AX19"/>
    <mergeCell ref="BA19:BB19"/>
    <mergeCell ref="AD20:AG20"/>
    <mergeCell ref="AH20:AJ20"/>
    <mergeCell ref="AR20:AS20"/>
    <mergeCell ref="AT20:AU20"/>
    <mergeCell ref="AW20:AX20"/>
    <mergeCell ref="BA20:BB20"/>
    <mergeCell ref="BC18:BD18"/>
    <mergeCell ref="BE18:BF18"/>
    <mergeCell ref="E19:F19"/>
    <mergeCell ref="G19:H19"/>
    <mergeCell ref="I19:K19"/>
    <mergeCell ref="L19:M19"/>
    <mergeCell ref="N19:O19"/>
    <mergeCell ref="P19:Q19"/>
    <mergeCell ref="E20:F20"/>
    <mergeCell ref="G20:H20"/>
    <mergeCell ref="I20:K20"/>
    <mergeCell ref="L20:M20"/>
    <mergeCell ref="N20:O20"/>
    <mergeCell ref="P20:Q20"/>
    <mergeCell ref="R20:S20"/>
    <mergeCell ref="R19:S19"/>
    <mergeCell ref="U19:V20"/>
    <mergeCell ref="BC20:BD20"/>
    <mergeCell ref="BE20:BF20"/>
    <mergeCell ref="BQ17:BS17"/>
    <mergeCell ref="E18:F18"/>
    <mergeCell ref="G18:H18"/>
    <mergeCell ref="I18:K18"/>
    <mergeCell ref="L18:M18"/>
    <mergeCell ref="N18:O18"/>
    <mergeCell ref="P18:Q18"/>
    <mergeCell ref="R18:S18"/>
    <mergeCell ref="AR18:AS18"/>
    <mergeCell ref="AT18:AU18"/>
    <mergeCell ref="AR17:AS17"/>
    <mergeCell ref="AT17:AU17"/>
    <mergeCell ref="AW17:AX17"/>
    <mergeCell ref="BA17:BB17"/>
    <mergeCell ref="BC17:BD17"/>
    <mergeCell ref="BE17:BF17"/>
    <mergeCell ref="AW18:AX18"/>
    <mergeCell ref="BA18:BB18"/>
    <mergeCell ref="BC16:BD16"/>
    <mergeCell ref="BE16:BF16"/>
    <mergeCell ref="E17:F17"/>
    <mergeCell ref="G17:H17"/>
    <mergeCell ref="I17:K17"/>
    <mergeCell ref="L17:M17"/>
    <mergeCell ref="N17:O17"/>
    <mergeCell ref="P17:Q17"/>
    <mergeCell ref="R17:S17"/>
    <mergeCell ref="AD17:AF17"/>
    <mergeCell ref="R16:S16"/>
    <mergeCell ref="AR16:AS16"/>
    <mergeCell ref="AT16:AU16"/>
    <mergeCell ref="AV16:AX16"/>
    <mergeCell ref="AY16:AZ16"/>
    <mergeCell ref="BA16:BB16"/>
    <mergeCell ref="E16:F16"/>
    <mergeCell ref="G16:H16"/>
    <mergeCell ref="I16:K16"/>
    <mergeCell ref="L16:M16"/>
    <mergeCell ref="N16:O16"/>
    <mergeCell ref="P16:Q16"/>
    <mergeCell ref="BP14:BQ14"/>
    <mergeCell ref="E15:H15"/>
    <mergeCell ref="I15:S15"/>
    <mergeCell ref="AR15:AU15"/>
    <mergeCell ref="AV15:BF15"/>
    <mergeCell ref="K13:M13"/>
    <mergeCell ref="N13:P13"/>
    <mergeCell ref="Q13:S13"/>
    <mergeCell ref="AX13:AZ13"/>
    <mergeCell ref="BA13:BC13"/>
    <mergeCell ref="BD13:BF13"/>
    <mergeCell ref="K12:M12"/>
    <mergeCell ref="N12:P12"/>
    <mergeCell ref="Q12:S12"/>
    <mergeCell ref="U12:V12"/>
    <mergeCell ref="AX12:AZ12"/>
    <mergeCell ref="BA12:BC12"/>
    <mergeCell ref="BD12:BF12"/>
    <mergeCell ref="BH12:BI12"/>
    <mergeCell ref="U14:V15"/>
    <mergeCell ref="AC14:AD14"/>
    <mergeCell ref="BH14:BI15"/>
    <mergeCell ref="BA10:BC10"/>
    <mergeCell ref="BD10:BF10"/>
    <mergeCell ref="BH10:BI11"/>
    <mergeCell ref="BP10:BQ10"/>
    <mergeCell ref="K11:M11"/>
    <mergeCell ref="N11:P11"/>
    <mergeCell ref="Q11:S11"/>
    <mergeCell ref="AB11:AD11"/>
    <mergeCell ref="AX11:AZ11"/>
    <mergeCell ref="BA11:BC11"/>
    <mergeCell ref="K10:M10"/>
    <mergeCell ref="N10:P10"/>
    <mergeCell ref="Q10:S10"/>
    <mergeCell ref="U10:V11"/>
    <mergeCell ref="AC10:AD10"/>
    <mergeCell ref="AX10:AZ10"/>
    <mergeCell ref="BD11:BF11"/>
    <mergeCell ref="BO11:BQ11"/>
    <mergeCell ref="K9:M9"/>
    <mergeCell ref="N9:P9"/>
    <mergeCell ref="Q9:S9"/>
    <mergeCell ref="AX9:AZ9"/>
    <mergeCell ref="BA9:BC9"/>
    <mergeCell ref="BD9:BF9"/>
    <mergeCell ref="BX5:BZ5"/>
    <mergeCell ref="Y6:Z6"/>
    <mergeCell ref="AK6:AL6"/>
    <mergeCell ref="BL6:BM6"/>
    <mergeCell ref="BX6:BY6"/>
    <mergeCell ref="K7:S7"/>
    <mergeCell ref="AX7:BF7"/>
    <mergeCell ref="A5:G5"/>
    <mergeCell ref="H5:S5"/>
    <mergeCell ref="T5:X5"/>
    <mergeCell ref="Y5:AJ5"/>
    <mergeCell ref="AN5:AT5"/>
    <mergeCell ref="AU5:BF5"/>
    <mergeCell ref="BG5:BK5"/>
    <mergeCell ref="BL5:BW5"/>
    <mergeCell ref="K8:S8"/>
    <mergeCell ref="AX8:BF8"/>
    <mergeCell ref="A1:AM3"/>
    <mergeCell ref="AN1:BZ3"/>
    <mergeCell ref="A4:G4"/>
    <mergeCell ref="H4:S4"/>
    <mergeCell ref="T4:X4"/>
    <mergeCell ref="Y4:AJ4"/>
    <mergeCell ref="AK4:AM4"/>
    <mergeCell ref="AN4:AT4"/>
    <mergeCell ref="AU4:BF4"/>
    <mergeCell ref="BG4:BK4"/>
    <mergeCell ref="BL4:BW4"/>
    <mergeCell ref="BX4:BZ4"/>
  </mergeCells>
  <pageMargins left="0.6692913385826772" right="0.62992125984251968" top="0.78740157480314965" bottom="0.39370078740157483" header="0.23622047244094491" footer="0.27559055118110237"/>
  <pageSetup paperSize="9" scale="66" orientation="landscape" r:id="rId1"/>
  <headerFooter alignWithMargins="0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05591-A8D3-403A-A938-C3307DE80BEB}">
  <sheetPr>
    <pageSetUpPr fitToPage="1"/>
  </sheetPr>
  <dimension ref="A1:CD84"/>
  <sheetViews>
    <sheetView showGridLines="0" tabSelected="1" view="pageBreakPreview" topLeftCell="A22" zoomScale="85" zoomScaleNormal="85" zoomScaleSheetLayoutView="85" workbookViewId="0">
      <selection activeCell="P52" sqref="P52"/>
    </sheetView>
  </sheetViews>
  <sheetFormatPr defaultRowHeight="15"/>
  <cols>
    <col min="1" max="5" width="5.625" style="1" customWidth="1"/>
    <col min="6" max="6" width="6.75" style="1" bestFit="1" customWidth="1"/>
    <col min="7" max="9" width="5.625" style="1" customWidth="1"/>
    <col min="10" max="10" width="1.625" style="1" customWidth="1"/>
    <col min="11" max="11" width="4.625" style="1" customWidth="1"/>
    <col min="12" max="19" width="5.625" style="1" customWidth="1"/>
    <col min="20" max="20" width="4.125" style="1" customWidth="1"/>
    <col min="21" max="25" width="3.625" style="1" customWidth="1"/>
    <col min="26" max="26" width="2.125" style="1" customWidth="1"/>
    <col min="27" max="27" width="5" style="1" customWidth="1"/>
    <col min="28" max="28" width="6" style="1" customWidth="1"/>
    <col min="29" max="29" width="2.125" style="1" customWidth="1"/>
    <col min="30" max="30" width="5.625" style="1" customWidth="1"/>
    <col min="31" max="31" width="2.125" style="1" customWidth="1"/>
    <col min="32" max="32" width="5.625" style="1" customWidth="1"/>
    <col min="33" max="33" width="3.25" style="115" customWidth="1"/>
    <col min="34" max="36" width="3.625" style="1" customWidth="1"/>
    <col min="37" max="39" width="6.625" style="1" customWidth="1"/>
    <col min="40" max="48" width="5.625" style="1" customWidth="1"/>
    <col min="49" max="49" width="1.625" style="1" customWidth="1"/>
    <col min="50" max="50" width="4.625" style="1" customWidth="1"/>
    <col min="51" max="58" width="5.625" style="1" customWidth="1"/>
    <col min="59" max="59" width="4.125" style="1" customWidth="1"/>
    <col min="60" max="64" width="3.625" style="1" customWidth="1"/>
    <col min="65" max="65" width="2.125" style="1" customWidth="1"/>
    <col min="66" max="66" width="5" style="1" customWidth="1"/>
    <col min="67" max="67" width="6" style="1" customWidth="1"/>
    <col min="68" max="68" width="2.125" style="1" customWidth="1"/>
    <col min="69" max="69" width="5.625" style="1" customWidth="1"/>
    <col min="70" max="70" width="2.125" style="1" customWidth="1"/>
    <col min="71" max="71" width="5.625" style="1" customWidth="1"/>
    <col min="72" max="72" width="3.25" style="115" customWidth="1"/>
    <col min="73" max="75" width="3.625" style="1" customWidth="1"/>
    <col min="76" max="78" width="6.625" style="1" customWidth="1"/>
    <col min="79" max="256" width="9" style="1"/>
    <col min="257" max="265" width="5.625" style="1" customWidth="1"/>
    <col min="266" max="266" width="1.625" style="1" customWidth="1"/>
    <col min="267" max="267" width="4.625" style="1" customWidth="1"/>
    <col min="268" max="275" width="5.625" style="1" customWidth="1"/>
    <col min="276" max="276" width="4.125" style="1" customWidth="1"/>
    <col min="277" max="281" width="3.625" style="1" customWidth="1"/>
    <col min="282" max="282" width="2.125" style="1" customWidth="1"/>
    <col min="283" max="283" width="5" style="1" customWidth="1"/>
    <col min="284" max="284" width="6" style="1" customWidth="1"/>
    <col min="285" max="285" width="2.125" style="1" customWidth="1"/>
    <col min="286" max="286" width="5.625" style="1" customWidth="1"/>
    <col min="287" max="287" width="2.125" style="1" customWidth="1"/>
    <col min="288" max="288" width="5.625" style="1" customWidth="1"/>
    <col min="289" max="289" width="3.25" style="1" customWidth="1"/>
    <col min="290" max="292" width="3.625" style="1" customWidth="1"/>
    <col min="293" max="295" width="6.625" style="1" customWidth="1"/>
    <col min="296" max="304" width="5.625" style="1" customWidth="1"/>
    <col min="305" max="305" width="1.625" style="1" customWidth="1"/>
    <col min="306" max="306" width="4.625" style="1" customWidth="1"/>
    <col min="307" max="314" width="5.625" style="1" customWidth="1"/>
    <col min="315" max="315" width="4.125" style="1" customWidth="1"/>
    <col min="316" max="320" width="3.625" style="1" customWidth="1"/>
    <col min="321" max="321" width="2.125" style="1" customWidth="1"/>
    <col min="322" max="322" width="5" style="1" customWidth="1"/>
    <col min="323" max="323" width="6" style="1" customWidth="1"/>
    <col min="324" max="324" width="2.125" style="1" customWidth="1"/>
    <col min="325" max="325" width="5.625" style="1" customWidth="1"/>
    <col min="326" max="326" width="2.125" style="1" customWidth="1"/>
    <col min="327" max="327" width="5.625" style="1" customWidth="1"/>
    <col min="328" max="328" width="3.25" style="1" customWidth="1"/>
    <col min="329" max="331" width="3.625" style="1" customWidth="1"/>
    <col min="332" max="334" width="6.625" style="1" customWidth="1"/>
    <col min="335" max="512" width="9" style="1"/>
    <col min="513" max="521" width="5.625" style="1" customWidth="1"/>
    <col min="522" max="522" width="1.625" style="1" customWidth="1"/>
    <col min="523" max="523" width="4.625" style="1" customWidth="1"/>
    <col min="524" max="531" width="5.625" style="1" customWidth="1"/>
    <col min="532" max="532" width="4.125" style="1" customWidth="1"/>
    <col min="533" max="537" width="3.625" style="1" customWidth="1"/>
    <col min="538" max="538" width="2.125" style="1" customWidth="1"/>
    <col min="539" max="539" width="5" style="1" customWidth="1"/>
    <col min="540" max="540" width="6" style="1" customWidth="1"/>
    <col min="541" max="541" width="2.125" style="1" customWidth="1"/>
    <col min="542" max="542" width="5.625" style="1" customWidth="1"/>
    <col min="543" max="543" width="2.125" style="1" customWidth="1"/>
    <col min="544" max="544" width="5.625" style="1" customWidth="1"/>
    <col min="545" max="545" width="3.25" style="1" customWidth="1"/>
    <col min="546" max="548" width="3.625" style="1" customWidth="1"/>
    <col min="549" max="551" width="6.625" style="1" customWidth="1"/>
    <col min="552" max="560" width="5.625" style="1" customWidth="1"/>
    <col min="561" max="561" width="1.625" style="1" customWidth="1"/>
    <col min="562" max="562" width="4.625" style="1" customWidth="1"/>
    <col min="563" max="570" width="5.625" style="1" customWidth="1"/>
    <col min="571" max="571" width="4.125" style="1" customWidth="1"/>
    <col min="572" max="576" width="3.625" style="1" customWidth="1"/>
    <col min="577" max="577" width="2.125" style="1" customWidth="1"/>
    <col min="578" max="578" width="5" style="1" customWidth="1"/>
    <col min="579" max="579" width="6" style="1" customWidth="1"/>
    <col min="580" max="580" width="2.125" style="1" customWidth="1"/>
    <col min="581" max="581" width="5.625" style="1" customWidth="1"/>
    <col min="582" max="582" width="2.125" style="1" customWidth="1"/>
    <col min="583" max="583" width="5.625" style="1" customWidth="1"/>
    <col min="584" max="584" width="3.25" style="1" customWidth="1"/>
    <col min="585" max="587" width="3.625" style="1" customWidth="1"/>
    <col min="588" max="590" width="6.625" style="1" customWidth="1"/>
    <col min="591" max="768" width="9" style="1"/>
    <col min="769" max="777" width="5.625" style="1" customWidth="1"/>
    <col min="778" max="778" width="1.625" style="1" customWidth="1"/>
    <col min="779" max="779" width="4.625" style="1" customWidth="1"/>
    <col min="780" max="787" width="5.625" style="1" customWidth="1"/>
    <col min="788" max="788" width="4.125" style="1" customWidth="1"/>
    <col min="789" max="793" width="3.625" style="1" customWidth="1"/>
    <col min="794" max="794" width="2.125" style="1" customWidth="1"/>
    <col min="795" max="795" width="5" style="1" customWidth="1"/>
    <col min="796" max="796" width="6" style="1" customWidth="1"/>
    <col min="797" max="797" width="2.125" style="1" customWidth="1"/>
    <col min="798" max="798" width="5.625" style="1" customWidth="1"/>
    <col min="799" max="799" width="2.125" style="1" customWidth="1"/>
    <col min="800" max="800" width="5.625" style="1" customWidth="1"/>
    <col min="801" max="801" width="3.25" style="1" customWidth="1"/>
    <col min="802" max="804" width="3.625" style="1" customWidth="1"/>
    <col min="805" max="807" width="6.625" style="1" customWidth="1"/>
    <col min="808" max="816" width="5.625" style="1" customWidth="1"/>
    <col min="817" max="817" width="1.625" style="1" customWidth="1"/>
    <col min="818" max="818" width="4.625" style="1" customWidth="1"/>
    <col min="819" max="826" width="5.625" style="1" customWidth="1"/>
    <col min="827" max="827" width="4.125" style="1" customWidth="1"/>
    <col min="828" max="832" width="3.625" style="1" customWidth="1"/>
    <col min="833" max="833" width="2.125" style="1" customWidth="1"/>
    <col min="834" max="834" width="5" style="1" customWidth="1"/>
    <col min="835" max="835" width="6" style="1" customWidth="1"/>
    <col min="836" max="836" width="2.125" style="1" customWidth="1"/>
    <col min="837" max="837" width="5.625" style="1" customWidth="1"/>
    <col min="838" max="838" width="2.125" style="1" customWidth="1"/>
    <col min="839" max="839" width="5.625" style="1" customWidth="1"/>
    <col min="840" max="840" width="3.25" style="1" customWidth="1"/>
    <col min="841" max="843" width="3.625" style="1" customWidth="1"/>
    <col min="844" max="846" width="6.625" style="1" customWidth="1"/>
    <col min="847" max="1024" width="9" style="1"/>
    <col min="1025" max="1033" width="5.625" style="1" customWidth="1"/>
    <col min="1034" max="1034" width="1.625" style="1" customWidth="1"/>
    <col min="1035" max="1035" width="4.625" style="1" customWidth="1"/>
    <col min="1036" max="1043" width="5.625" style="1" customWidth="1"/>
    <col min="1044" max="1044" width="4.125" style="1" customWidth="1"/>
    <col min="1045" max="1049" width="3.625" style="1" customWidth="1"/>
    <col min="1050" max="1050" width="2.125" style="1" customWidth="1"/>
    <col min="1051" max="1051" width="5" style="1" customWidth="1"/>
    <col min="1052" max="1052" width="6" style="1" customWidth="1"/>
    <col min="1053" max="1053" width="2.125" style="1" customWidth="1"/>
    <col min="1054" max="1054" width="5.625" style="1" customWidth="1"/>
    <col min="1055" max="1055" width="2.125" style="1" customWidth="1"/>
    <col min="1056" max="1056" width="5.625" style="1" customWidth="1"/>
    <col min="1057" max="1057" width="3.25" style="1" customWidth="1"/>
    <col min="1058" max="1060" width="3.625" style="1" customWidth="1"/>
    <col min="1061" max="1063" width="6.625" style="1" customWidth="1"/>
    <col min="1064" max="1072" width="5.625" style="1" customWidth="1"/>
    <col min="1073" max="1073" width="1.625" style="1" customWidth="1"/>
    <col min="1074" max="1074" width="4.625" style="1" customWidth="1"/>
    <col min="1075" max="1082" width="5.625" style="1" customWidth="1"/>
    <col min="1083" max="1083" width="4.125" style="1" customWidth="1"/>
    <col min="1084" max="1088" width="3.625" style="1" customWidth="1"/>
    <col min="1089" max="1089" width="2.125" style="1" customWidth="1"/>
    <col min="1090" max="1090" width="5" style="1" customWidth="1"/>
    <col min="1091" max="1091" width="6" style="1" customWidth="1"/>
    <col min="1092" max="1092" width="2.125" style="1" customWidth="1"/>
    <col min="1093" max="1093" width="5.625" style="1" customWidth="1"/>
    <col min="1094" max="1094" width="2.125" style="1" customWidth="1"/>
    <col min="1095" max="1095" width="5.625" style="1" customWidth="1"/>
    <col min="1096" max="1096" width="3.25" style="1" customWidth="1"/>
    <col min="1097" max="1099" width="3.625" style="1" customWidth="1"/>
    <col min="1100" max="1102" width="6.625" style="1" customWidth="1"/>
    <col min="1103" max="1280" width="9" style="1"/>
    <col min="1281" max="1289" width="5.625" style="1" customWidth="1"/>
    <col min="1290" max="1290" width="1.625" style="1" customWidth="1"/>
    <col min="1291" max="1291" width="4.625" style="1" customWidth="1"/>
    <col min="1292" max="1299" width="5.625" style="1" customWidth="1"/>
    <col min="1300" max="1300" width="4.125" style="1" customWidth="1"/>
    <col min="1301" max="1305" width="3.625" style="1" customWidth="1"/>
    <col min="1306" max="1306" width="2.125" style="1" customWidth="1"/>
    <col min="1307" max="1307" width="5" style="1" customWidth="1"/>
    <col min="1308" max="1308" width="6" style="1" customWidth="1"/>
    <col min="1309" max="1309" width="2.125" style="1" customWidth="1"/>
    <col min="1310" max="1310" width="5.625" style="1" customWidth="1"/>
    <col min="1311" max="1311" width="2.125" style="1" customWidth="1"/>
    <col min="1312" max="1312" width="5.625" style="1" customWidth="1"/>
    <col min="1313" max="1313" width="3.25" style="1" customWidth="1"/>
    <col min="1314" max="1316" width="3.625" style="1" customWidth="1"/>
    <col min="1317" max="1319" width="6.625" style="1" customWidth="1"/>
    <col min="1320" max="1328" width="5.625" style="1" customWidth="1"/>
    <col min="1329" max="1329" width="1.625" style="1" customWidth="1"/>
    <col min="1330" max="1330" width="4.625" style="1" customWidth="1"/>
    <col min="1331" max="1338" width="5.625" style="1" customWidth="1"/>
    <col min="1339" max="1339" width="4.125" style="1" customWidth="1"/>
    <col min="1340" max="1344" width="3.625" style="1" customWidth="1"/>
    <col min="1345" max="1345" width="2.125" style="1" customWidth="1"/>
    <col min="1346" max="1346" width="5" style="1" customWidth="1"/>
    <col min="1347" max="1347" width="6" style="1" customWidth="1"/>
    <col min="1348" max="1348" width="2.125" style="1" customWidth="1"/>
    <col min="1349" max="1349" width="5.625" style="1" customWidth="1"/>
    <col min="1350" max="1350" width="2.125" style="1" customWidth="1"/>
    <col min="1351" max="1351" width="5.625" style="1" customWidth="1"/>
    <col min="1352" max="1352" width="3.25" style="1" customWidth="1"/>
    <col min="1353" max="1355" width="3.625" style="1" customWidth="1"/>
    <col min="1356" max="1358" width="6.625" style="1" customWidth="1"/>
    <col min="1359" max="1536" width="9" style="1"/>
    <col min="1537" max="1545" width="5.625" style="1" customWidth="1"/>
    <col min="1546" max="1546" width="1.625" style="1" customWidth="1"/>
    <col min="1547" max="1547" width="4.625" style="1" customWidth="1"/>
    <col min="1548" max="1555" width="5.625" style="1" customWidth="1"/>
    <col min="1556" max="1556" width="4.125" style="1" customWidth="1"/>
    <col min="1557" max="1561" width="3.625" style="1" customWidth="1"/>
    <col min="1562" max="1562" width="2.125" style="1" customWidth="1"/>
    <col min="1563" max="1563" width="5" style="1" customWidth="1"/>
    <col min="1564" max="1564" width="6" style="1" customWidth="1"/>
    <col min="1565" max="1565" width="2.125" style="1" customWidth="1"/>
    <col min="1566" max="1566" width="5.625" style="1" customWidth="1"/>
    <col min="1567" max="1567" width="2.125" style="1" customWidth="1"/>
    <col min="1568" max="1568" width="5.625" style="1" customWidth="1"/>
    <col min="1569" max="1569" width="3.25" style="1" customWidth="1"/>
    <col min="1570" max="1572" width="3.625" style="1" customWidth="1"/>
    <col min="1573" max="1575" width="6.625" style="1" customWidth="1"/>
    <col min="1576" max="1584" width="5.625" style="1" customWidth="1"/>
    <col min="1585" max="1585" width="1.625" style="1" customWidth="1"/>
    <col min="1586" max="1586" width="4.625" style="1" customWidth="1"/>
    <col min="1587" max="1594" width="5.625" style="1" customWidth="1"/>
    <col min="1595" max="1595" width="4.125" style="1" customWidth="1"/>
    <col min="1596" max="1600" width="3.625" style="1" customWidth="1"/>
    <col min="1601" max="1601" width="2.125" style="1" customWidth="1"/>
    <col min="1602" max="1602" width="5" style="1" customWidth="1"/>
    <col min="1603" max="1603" width="6" style="1" customWidth="1"/>
    <col min="1604" max="1604" width="2.125" style="1" customWidth="1"/>
    <col min="1605" max="1605" width="5.625" style="1" customWidth="1"/>
    <col min="1606" max="1606" width="2.125" style="1" customWidth="1"/>
    <col min="1607" max="1607" width="5.625" style="1" customWidth="1"/>
    <col min="1608" max="1608" width="3.25" style="1" customWidth="1"/>
    <col min="1609" max="1611" width="3.625" style="1" customWidth="1"/>
    <col min="1612" max="1614" width="6.625" style="1" customWidth="1"/>
    <col min="1615" max="1792" width="9" style="1"/>
    <col min="1793" max="1801" width="5.625" style="1" customWidth="1"/>
    <col min="1802" max="1802" width="1.625" style="1" customWidth="1"/>
    <col min="1803" max="1803" width="4.625" style="1" customWidth="1"/>
    <col min="1804" max="1811" width="5.625" style="1" customWidth="1"/>
    <col min="1812" max="1812" width="4.125" style="1" customWidth="1"/>
    <col min="1813" max="1817" width="3.625" style="1" customWidth="1"/>
    <col min="1818" max="1818" width="2.125" style="1" customWidth="1"/>
    <col min="1819" max="1819" width="5" style="1" customWidth="1"/>
    <col min="1820" max="1820" width="6" style="1" customWidth="1"/>
    <col min="1821" max="1821" width="2.125" style="1" customWidth="1"/>
    <col min="1822" max="1822" width="5.625" style="1" customWidth="1"/>
    <col min="1823" max="1823" width="2.125" style="1" customWidth="1"/>
    <col min="1824" max="1824" width="5.625" style="1" customWidth="1"/>
    <col min="1825" max="1825" width="3.25" style="1" customWidth="1"/>
    <col min="1826" max="1828" width="3.625" style="1" customWidth="1"/>
    <col min="1829" max="1831" width="6.625" style="1" customWidth="1"/>
    <col min="1832" max="1840" width="5.625" style="1" customWidth="1"/>
    <col min="1841" max="1841" width="1.625" style="1" customWidth="1"/>
    <col min="1842" max="1842" width="4.625" style="1" customWidth="1"/>
    <col min="1843" max="1850" width="5.625" style="1" customWidth="1"/>
    <col min="1851" max="1851" width="4.125" style="1" customWidth="1"/>
    <col min="1852" max="1856" width="3.625" style="1" customWidth="1"/>
    <col min="1857" max="1857" width="2.125" style="1" customWidth="1"/>
    <col min="1858" max="1858" width="5" style="1" customWidth="1"/>
    <col min="1859" max="1859" width="6" style="1" customWidth="1"/>
    <col min="1860" max="1860" width="2.125" style="1" customWidth="1"/>
    <col min="1861" max="1861" width="5.625" style="1" customWidth="1"/>
    <col min="1862" max="1862" width="2.125" style="1" customWidth="1"/>
    <col min="1863" max="1863" width="5.625" style="1" customWidth="1"/>
    <col min="1864" max="1864" width="3.25" style="1" customWidth="1"/>
    <col min="1865" max="1867" width="3.625" style="1" customWidth="1"/>
    <col min="1868" max="1870" width="6.625" style="1" customWidth="1"/>
    <col min="1871" max="2048" width="9" style="1"/>
    <col min="2049" max="2057" width="5.625" style="1" customWidth="1"/>
    <col min="2058" max="2058" width="1.625" style="1" customWidth="1"/>
    <col min="2059" max="2059" width="4.625" style="1" customWidth="1"/>
    <col min="2060" max="2067" width="5.625" style="1" customWidth="1"/>
    <col min="2068" max="2068" width="4.125" style="1" customWidth="1"/>
    <col min="2069" max="2073" width="3.625" style="1" customWidth="1"/>
    <col min="2074" max="2074" width="2.125" style="1" customWidth="1"/>
    <col min="2075" max="2075" width="5" style="1" customWidth="1"/>
    <col min="2076" max="2076" width="6" style="1" customWidth="1"/>
    <col min="2077" max="2077" width="2.125" style="1" customWidth="1"/>
    <col min="2078" max="2078" width="5.625" style="1" customWidth="1"/>
    <col min="2079" max="2079" width="2.125" style="1" customWidth="1"/>
    <col min="2080" max="2080" width="5.625" style="1" customWidth="1"/>
    <col min="2081" max="2081" width="3.25" style="1" customWidth="1"/>
    <col min="2082" max="2084" width="3.625" style="1" customWidth="1"/>
    <col min="2085" max="2087" width="6.625" style="1" customWidth="1"/>
    <col min="2088" max="2096" width="5.625" style="1" customWidth="1"/>
    <col min="2097" max="2097" width="1.625" style="1" customWidth="1"/>
    <col min="2098" max="2098" width="4.625" style="1" customWidth="1"/>
    <col min="2099" max="2106" width="5.625" style="1" customWidth="1"/>
    <col min="2107" max="2107" width="4.125" style="1" customWidth="1"/>
    <col min="2108" max="2112" width="3.625" style="1" customWidth="1"/>
    <col min="2113" max="2113" width="2.125" style="1" customWidth="1"/>
    <col min="2114" max="2114" width="5" style="1" customWidth="1"/>
    <col min="2115" max="2115" width="6" style="1" customWidth="1"/>
    <col min="2116" max="2116" width="2.125" style="1" customWidth="1"/>
    <col min="2117" max="2117" width="5.625" style="1" customWidth="1"/>
    <col min="2118" max="2118" width="2.125" style="1" customWidth="1"/>
    <col min="2119" max="2119" width="5.625" style="1" customWidth="1"/>
    <col min="2120" max="2120" width="3.25" style="1" customWidth="1"/>
    <col min="2121" max="2123" width="3.625" style="1" customWidth="1"/>
    <col min="2124" max="2126" width="6.625" style="1" customWidth="1"/>
    <col min="2127" max="2304" width="9" style="1"/>
    <col min="2305" max="2313" width="5.625" style="1" customWidth="1"/>
    <col min="2314" max="2314" width="1.625" style="1" customWidth="1"/>
    <col min="2315" max="2315" width="4.625" style="1" customWidth="1"/>
    <col min="2316" max="2323" width="5.625" style="1" customWidth="1"/>
    <col min="2324" max="2324" width="4.125" style="1" customWidth="1"/>
    <col min="2325" max="2329" width="3.625" style="1" customWidth="1"/>
    <col min="2330" max="2330" width="2.125" style="1" customWidth="1"/>
    <col min="2331" max="2331" width="5" style="1" customWidth="1"/>
    <col min="2332" max="2332" width="6" style="1" customWidth="1"/>
    <col min="2333" max="2333" width="2.125" style="1" customWidth="1"/>
    <col min="2334" max="2334" width="5.625" style="1" customWidth="1"/>
    <col min="2335" max="2335" width="2.125" style="1" customWidth="1"/>
    <col min="2336" max="2336" width="5.625" style="1" customWidth="1"/>
    <col min="2337" max="2337" width="3.25" style="1" customWidth="1"/>
    <col min="2338" max="2340" width="3.625" style="1" customWidth="1"/>
    <col min="2341" max="2343" width="6.625" style="1" customWidth="1"/>
    <col min="2344" max="2352" width="5.625" style="1" customWidth="1"/>
    <col min="2353" max="2353" width="1.625" style="1" customWidth="1"/>
    <col min="2354" max="2354" width="4.625" style="1" customWidth="1"/>
    <col min="2355" max="2362" width="5.625" style="1" customWidth="1"/>
    <col min="2363" max="2363" width="4.125" style="1" customWidth="1"/>
    <col min="2364" max="2368" width="3.625" style="1" customWidth="1"/>
    <col min="2369" max="2369" width="2.125" style="1" customWidth="1"/>
    <col min="2370" max="2370" width="5" style="1" customWidth="1"/>
    <col min="2371" max="2371" width="6" style="1" customWidth="1"/>
    <col min="2372" max="2372" width="2.125" style="1" customWidth="1"/>
    <col min="2373" max="2373" width="5.625" style="1" customWidth="1"/>
    <col min="2374" max="2374" width="2.125" style="1" customWidth="1"/>
    <col min="2375" max="2375" width="5.625" style="1" customWidth="1"/>
    <col min="2376" max="2376" width="3.25" style="1" customWidth="1"/>
    <col min="2377" max="2379" width="3.625" style="1" customWidth="1"/>
    <col min="2380" max="2382" width="6.625" style="1" customWidth="1"/>
    <col min="2383" max="2560" width="9" style="1"/>
    <col min="2561" max="2569" width="5.625" style="1" customWidth="1"/>
    <col min="2570" max="2570" width="1.625" style="1" customWidth="1"/>
    <col min="2571" max="2571" width="4.625" style="1" customWidth="1"/>
    <col min="2572" max="2579" width="5.625" style="1" customWidth="1"/>
    <col min="2580" max="2580" width="4.125" style="1" customWidth="1"/>
    <col min="2581" max="2585" width="3.625" style="1" customWidth="1"/>
    <col min="2586" max="2586" width="2.125" style="1" customWidth="1"/>
    <col min="2587" max="2587" width="5" style="1" customWidth="1"/>
    <col min="2588" max="2588" width="6" style="1" customWidth="1"/>
    <col min="2589" max="2589" width="2.125" style="1" customWidth="1"/>
    <col min="2590" max="2590" width="5.625" style="1" customWidth="1"/>
    <col min="2591" max="2591" width="2.125" style="1" customWidth="1"/>
    <col min="2592" max="2592" width="5.625" style="1" customWidth="1"/>
    <col min="2593" max="2593" width="3.25" style="1" customWidth="1"/>
    <col min="2594" max="2596" width="3.625" style="1" customWidth="1"/>
    <col min="2597" max="2599" width="6.625" style="1" customWidth="1"/>
    <col min="2600" max="2608" width="5.625" style="1" customWidth="1"/>
    <col min="2609" max="2609" width="1.625" style="1" customWidth="1"/>
    <col min="2610" max="2610" width="4.625" style="1" customWidth="1"/>
    <col min="2611" max="2618" width="5.625" style="1" customWidth="1"/>
    <col min="2619" max="2619" width="4.125" style="1" customWidth="1"/>
    <col min="2620" max="2624" width="3.625" style="1" customWidth="1"/>
    <col min="2625" max="2625" width="2.125" style="1" customWidth="1"/>
    <col min="2626" max="2626" width="5" style="1" customWidth="1"/>
    <col min="2627" max="2627" width="6" style="1" customWidth="1"/>
    <col min="2628" max="2628" width="2.125" style="1" customWidth="1"/>
    <col min="2629" max="2629" width="5.625" style="1" customWidth="1"/>
    <col min="2630" max="2630" width="2.125" style="1" customWidth="1"/>
    <col min="2631" max="2631" width="5.625" style="1" customWidth="1"/>
    <col min="2632" max="2632" width="3.25" style="1" customWidth="1"/>
    <col min="2633" max="2635" width="3.625" style="1" customWidth="1"/>
    <col min="2636" max="2638" width="6.625" style="1" customWidth="1"/>
    <col min="2639" max="2816" width="9" style="1"/>
    <col min="2817" max="2825" width="5.625" style="1" customWidth="1"/>
    <col min="2826" max="2826" width="1.625" style="1" customWidth="1"/>
    <col min="2827" max="2827" width="4.625" style="1" customWidth="1"/>
    <col min="2828" max="2835" width="5.625" style="1" customWidth="1"/>
    <col min="2836" max="2836" width="4.125" style="1" customWidth="1"/>
    <col min="2837" max="2841" width="3.625" style="1" customWidth="1"/>
    <col min="2842" max="2842" width="2.125" style="1" customWidth="1"/>
    <col min="2843" max="2843" width="5" style="1" customWidth="1"/>
    <col min="2844" max="2844" width="6" style="1" customWidth="1"/>
    <col min="2845" max="2845" width="2.125" style="1" customWidth="1"/>
    <col min="2846" max="2846" width="5.625" style="1" customWidth="1"/>
    <col min="2847" max="2847" width="2.125" style="1" customWidth="1"/>
    <col min="2848" max="2848" width="5.625" style="1" customWidth="1"/>
    <col min="2849" max="2849" width="3.25" style="1" customWidth="1"/>
    <col min="2850" max="2852" width="3.625" style="1" customWidth="1"/>
    <col min="2853" max="2855" width="6.625" style="1" customWidth="1"/>
    <col min="2856" max="2864" width="5.625" style="1" customWidth="1"/>
    <col min="2865" max="2865" width="1.625" style="1" customWidth="1"/>
    <col min="2866" max="2866" width="4.625" style="1" customWidth="1"/>
    <col min="2867" max="2874" width="5.625" style="1" customWidth="1"/>
    <col min="2875" max="2875" width="4.125" style="1" customWidth="1"/>
    <col min="2876" max="2880" width="3.625" style="1" customWidth="1"/>
    <col min="2881" max="2881" width="2.125" style="1" customWidth="1"/>
    <col min="2882" max="2882" width="5" style="1" customWidth="1"/>
    <col min="2883" max="2883" width="6" style="1" customWidth="1"/>
    <col min="2884" max="2884" width="2.125" style="1" customWidth="1"/>
    <col min="2885" max="2885" width="5.625" style="1" customWidth="1"/>
    <col min="2886" max="2886" width="2.125" style="1" customWidth="1"/>
    <col min="2887" max="2887" width="5.625" style="1" customWidth="1"/>
    <col min="2888" max="2888" width="3.25" style="1" customWidth="1"/>
    <col min="2889" max="2891" width="3.625" style="1" customWidth="1"/>
    <col min="2892" max="2894" width="6.625" style="1" customWidth="1"/>
    <col min="2895" max="3072" width="9" style="1"/>
    <col min="3073" max="3081" width="5.625" style="1" customWidth="1"/>
    <col min="3082" max="3082" width="1.625" style="1" customWidth="1"/>
    <col min="3083" max="3083" width="4.625" style="1" customWidth="1"/>
    <col min="3084" max="3091" width="5.625" style="1" customWidth="1"/>
    <col min="3092" max="3092" width="4.125" style="1" customWidth="1"/>
    <col min="3093" max="3097" width="3.625" style="1" customWidth="1"/>
    <col min="3098" max="3098" width="2.125" style="1" customWidth="1"/>
    <col min="3099" max="3099" width="5" style="1" customWidth="1"/>
    <col min="3100" max="3100" width="6" style="1" customWidth="1"/>
    <col min="3101" max="3101" width="2.125" style="1" customWidth="1"/>
    <col min="3102" max="3102" width="5.625" style="1" customWidth="1"/>
    <col min="3103" max="3103" width="2.125" style="1" customWidth="1"/>
    <col min="3104" max="3104" width="5.625" style="1" customWidth="1"/>
    <col min="3105" max="3105" width="3.25" style="1" customWidth="1"/>
    <col min="3106" max="3108" width="3.625" style="1" customWidth="1"/>
    <col min="3109" max="3111" width="6.625" style="1" customWidth="1"/>
    <col min="3112" max="3120" width="5.625" style="1" customWidth="1"/>
    <col min="3121" max="3121" width="1.625" style="1" customWidth="1"/>
    <col min="3122" max="3122" width="4.625" style="1" customWidth="1"/>
    <col min="3123" max="3130" width="5.625" style="1" customWidth="1"/>
    <col min="3131" max="3131" width="4.125" style="1" customWidth="1"/>
    <col min="3132" max="3136" width="3.625" style="1" customWidth="1"/>
    <col min="3137" max="3137" width="2.125" style="1" customWidth="1"/>
    <col min="3138" max="3138" width="5" style="1" customWidth="1"/>
    <col min="3139" max="3139" width="6" style="1" customWidth="1"/>
    <col min="3140" max="3140" width="2.125" style="1" customWidth="1"/>
    <col min="3141" max="3141" width="5.625" style="1" customWidth="1"/>
    <col min="3142" max="3142" width="2.125" style="1" customWidth="1"/>
    <col min="3143" max="3143" width="5.625" style="1" customWidth="1"/>
    <col min="3144" max="3144" width="3.25" style="1" customWidth="1"/>
    <col min="3145" max="3147" width="3.625" style="1" customWidth="1"/>
    <col min="3148" max="3150" width="6.625" style="1" customWidth="1"/>
    <col min="3151" max="3328" width="9" style="1"/>
    <col min="3329" max="3337" width="5.625" style="1" customWidth="1"/>
    <col min="3338" max="3338" width="1.625" style="1" customWidth="1"/>
    <col min="3339" max="3339" width="4.625" style="1" customWidth="1"/>
    <col min="3340" max="3347" width="5.625" style="1" customWidth="1"/>
    <col min="3348" max="3348" width="4.125" style="1" customWidth="1"/>
    <col min="3349" max="3353" width="3.625" style="1" customWidth="1"/>
    <col min="3354" max="3354" width="2.125" style="1" customWidth="1"/>
    <col min="3355" max="3355" width="5" style="1" customWidth="1"/>
    <col min="3356" max="3356" width="6" style="1" customWidth="1"/>
    <col min="3357" max="3357" width="2.125" style="1" customWidth="1"/>
    <col min="3358" max="3358" width="5.625" style="1" customWidth="1"/>
    <col min="3359" max="3359" width="2.125" style="1" customWidth="1"/>
    <col min="3360" max="3360" width="5.625" style="1" customWidth="1"/>
    <col min="3361" max="3361" width="3.25" style="1" customWidth="1"/>
    <col min="3362" max="3364" width="3.625" style="1" customWidth="1"/>
    <col min="3365" max="3367" width="6.625" style="1" customWidth="1"/>
    <col min="3368" max="3376" width="5.625" style="1" customWidth="1"/>
    <col min="3377" max="3377" width="1.625" style="1" customWidth="1"/>
    <col min="3378" max="3378" width="4.625" style="1" customWidth="1"/>
    <col min="3379" max="3386" width="5.625" style="1" customWidth="1"/>
    <col min="3387" max="3387" width="4.125" style="1" customWidth="1"/>
    <col min="3388" max="3392" width="3.625" style="1" customWidth="1"/>
    <col min="3393" max="3393" width="2.125" style="1" customWidth="1"/>
    <col min="3394" max="3394" width="5" style="1" customWidth="1"/>
    <col min="3395" max="3395" width="6" style="1" customWidth="1"/>
    <col min="3396" max="3396" width="2.125" style="1" customWidth="1"/>
    <col min="3397" max="3397" width="5.625" style="1" customWidth="1"/>
    <col min="3398" max="3398" width="2.125" style="1" customWidth="1"/>
    <col min="3399" max="3399" width="5.625" style="1" customWidth="1"/>
    <col min="3400" max="3400" width="3.25" style="1" customWidth="1"/>
    <col min="3401" max="3403" width="3.625" style="1" customWidth="1"/>
    <col min="3404" max="3406" width="6.625" style="1" customWidth="1"/>
    <col min="3407" max="3584" width="9" style="1"/>
    <col min="3585" max="3593" width="5.625" style="1" customWidth="1"/>
    <col min="3594" max="3594" width="1.625" style="1" customWidth="1"/>
    <col min="3595" max="3595" width="4.625" style="1" customWidth="1"/>
    <col min="3596" max="3603" width="5.625" style="1" customWidth="1"/>
    <col min="3604" max="3604" width="4.125" style="1" customWidth="1"/>
    <col min="3605" max="3609" width="3.625" style="1" customWidth="1"/>
    <col min="3610" max="3610" width="2.125" style="1" customWidth="1"/>
    <col min="3611" max="3611" width="5" style="1" customWidth="1"/>
    <col min="3612" max="3612" width="6" style="1" customWidth="1"/>
    <col min="3613" max="3613" width="2.125" style="1" customWidth="1"/>
    <col min="3614" max="3614" width="5.625" style="1" customWidth="1"/>
    <col min="3615" max="3615" width="2.125" style="1" customWidth="1"/>
    <col min="3616" max="3616" width="5.625" style="1" customWidth="1"/>
    <col min="3617" max="3617" width="3.25" style="1" customWidth="1"/>
    <col min="3618" max="3620" width="3.625" style="1" customWidth="1"/>
    <col min="3621" max="3623" width="6.625" style="1" customWidth="1"/>
    <col min="3624" max="3632" width="5.625" style="1" customWidth="1"/>
    <col min="3633" max="3633" width="1.625" style="1" customWidth="1"/>
    <col min="3634" max="3634" width="4.625" style="1" customWidth="1"/>
    <col min="3635" max="3642" width="5.625" style="1" customWidth="1"/>
    <col min="3643" max="3643" width="4.125" style="1" customWidth="1"/>
    <col min="3644" max="3648" width="3.625" style="1" customWidth="1"/>
    <col min="3649" max="3649" width="2.125" style="1" customWidth="1"/>
    <col min="3650" max="3650" width="5" style="1" customWidth="1"/>
    <col min="3651" max="3651" width="6" style="1" customWidth="1"/>
    <col min="3652" max="3652" width="2.125" style="1" customWidth="1"/>
    <col min="3653" max="3653" width="5.625" style="1" customWidth="1"/>
    <col min="3654" max="3654" width="2.125" style="1" customWidth="1"/>
    <col min="3655" max="3655" width="5.625" style="1" customWidth="1"/>
    <col min="3656" max="3656" width="3.25" style="1" customWidth="1"/>
    <col min="3657" max="3659" width="3.625" style="1" customWidth="1"/>
    <col min="3660" max="3662" width="6.625" style="1" customWidth="1"/>
    <col min="3663" max="3840" width="9" style="1"/>
    <col min="3841" max="3849" width="5.625" style="1" customWidth="1"/>
    <col min="3850" max="3850" width="1.625" style="1" customWidth="1"/>
    <col min="3851" max="3851" width="4.625" style="1" customWidth="1"/>
    <col min="3852" max="3859" width="5.625" style="1" customWidth="1"/>
    <col min="3860" max="3860" width="4.125" style="1" customWidth="1"/>
    <col min="3861" max="3865" width="3.625" style="1" customWidth="1"/>
    <col min="3866" max="3866" width="2.125" style="1" customWidth="1"/>
    <col min="3867" max="3867" width="5" style="1" customWidth="1"/>
    <col min="3868" max="3868" width="6" style="1" customWidth="1"/>
    <col min="3869" max="3869" width="2.125" style="1" customWidth="1"/>
    <col min="3870" max="3870" width="5.625" style="1" customWidth="1"/>
    <col min="3871" max="3871" width="2.125" style="1" customWidth="1"/>
    <col min="3872" max="3872" width="5.625" style="1" customWidth="1"/>
    <col min="3873" max="3873" width="3.25" style="1" customWidth="1"/>
    <col min="3874" max="3876" width="3.625" style="1" customWidth="1"/>
    <col min="3877" max="3879" width="6.625" style="1" customWidth="1"/>
    <col min="3880" max="3888" width="5.625" style="1" customWidth="1"/>
    <col min="3889" max="3889" width="1.625" style="1" customWidth="1"/>
    <col min="3890" max="3890" width="4.625" style="1" customWidth="1"/>
    <col min="3891" max="3898" width="5.625" style="1" customWidth="1"/>
    <col min="3899" max="3899" width="4.125" style="1" customWidth="1"/>
    <col min="3900" max="3904" width="3.625" style="1" customWidth="1"/>
    <col min="3905" max="3905" width="2.125" style="1" customWidth="1"/>
    <col min="3906" max="3906" width="5" style="1" customWidth="1"/>
    <col min="3907" max="3907" width="6" style="1" customWidth="1"/>
    <col min="3908" max="3908" width="2.125" style="1" customWidth="1"/>
    <col min="3909" max="3909" width="5.625" style="1" customWidth="1"/>
    <col min="3910" max="3910" width="2.125" style="1" customWidth="1"/>
    <col min="3911" max="3911" width="5.625" style="1" customWidth="1"/>
    <col min="3912" max="3912" width="3.25" style="1" customWidth="1"/>
    <col min="3913" max="3915" width="3.625" style="1" customWidth="1"/>
    <col min="3916" max="3918" width="6.625" style="1" customWidth="1"/>
    <col min="3919" max="4096" width="9" style="1"/>
    <col min="4097" max="4105" width="5.625" style="1" customWidth="1"/>
    <col min="4106" max="4106" width="1.625" style="1" customWidth="1"/>
    <col min="4107" max="4107" width="4.625" style="1" customWidth="1"/>
    <col min="4108" max="4115" width="5.625" style="1" customWidth="1"/>
    <col min="4116" max="4116" width="4.125" style="1" customWidth="1"/>
    <col min="4117" max="4121" width="3.625" style="1" customWidth="1"/>
    <col min="4122" max="4122" width="2.125" style="1" customWidth="1"/>
    <col min="4123" max="4123" width="5" style="1" customWidth="1"/>
    <col min="4124" max="4124" width="6" style="1" customWidth="1"/>
    <col min="4125" max="4125" width="2.125" style="1" customWidth="1"/>
    <col min="4126" max="4126" width="5.625" style="1" customWidth="1"/>
    <col min="4127" max="4127" width="2.125" style="1" customWidth="1"/>
    <col min="4128" max="4128" width="5.625" style="1" customWidth="1"/>
    <col min="4129" max="4129" width="3.25" style="1" customWidth="1"/>
    <col min="4130" max="4132" width="3.625" style="1" customWidth="1"/>
    <col min="4133" max="4135" width="6.625" style="1" customWidth="1"/>
    <col min="4136" max="4144" width="5.625" style="1" customWidth="1"/>
    <col min="4145" max="4145" width="1.625" style="1" customWidth="1"/>
    <col min="4146" max="4146" width="4.625" style="1" customWidth="1"/>
    <col min="4147" max="4154" width="5.625" style="1" customWidth="1"/>
    <col min="4155" max="4155" width="4.125" style="1" customWidth="1"/>
    <col min="4156" max="4160" width="3.625" style="1" customWidth="1"/>
    <col min="4161" max="4161" width="2.125" style="1" customWidth="1"/>
    <col min="4162" max="4162" width="5" style="1" customWidth="1"/>
    <col min="4163" max="4163" width="6" style="1" customWidth="1"/>
    <col min="4164" max="4164" width="2.125" style="1" customWidth="1"/>
    <col min="4165" max="4165" width="5.625" style="1" customWidth="1"/>
    <col min="4166" max="4166" width="2.125" style="1" customWidth="1"/>
    <col min="4167" max="4167" width="5.625" style="1" customWidth="1"/>
    <col min="4168" max="4168" width="3.25" style="1" customWidth="1"/>
    <col min="4169" max="4171" width="3.625" style="1" customWidth="1"/>
    <col min="4172" max="4174" width="6.625" style="1" customWidth="1"/>
    <col min="4175" max="4352" width="9" style="1"/>
    <col min="4353" max="4361" width="5.625" style="1" customWidth="1"/>
    <col min="4362" max="4362" width="1.625" style="1" customWidth="1"/>
    <col min="4363" max="4363" width="4.625" style="1" customWidth="1"/>
    <col min="4364" max="4371" width="5.625" style="1" customWidth="1"/>
    <col min="4372" max="4372" width="4.125" style="1" customWidth="1"/>
    <col min="4373" max="4377" width="3.625" style="1" customWidth="1"/>
    <col min="4378" max="4378" width="2.125" style="1" customWidth="1"/>
    <col min="4379" max="4379" width="5" style="1" customWidth="1"/>
    <col min="4380" max="4380" width="6" style="1" customWidth="1"/>
    <col min="4381" max="4381" width="2.125" style="1" customWidth="1"/>
    <col min="4382" max="4382" width="5.625" style="1" customWidth="1"/>
    <col min="4383" max="4383" width="2.125" style="1" customWidth="1"/>
    <col min="4384" max="4384" width="5.625" style="1" customWidth="1"/>
    <col min="4385" max="4385" width="3.25" style="1" customWidth="1"/>
    <col min="4386" max="4388" width="3.625" style="1" customWidth="1"/>
    <col min="4389" max="4391" width="6.625" style="1" customWidth="1"/>
    <col min="4392" max="4400" width="5.625" style="1" customWidth="1"/>
    <col min="4401" max="4401" width="1.625" style="1" customWidth="1"/>
    <col min="4402" max="4402" width="4.625" style="1" customWidth="1"/>
    <col min="4403" max="4410" width="5.625" style="1" customWidth="1"/>
    <col min="4411" max="4411" width="4.125" style="1" customWidth="1"/>
    <col min="4412" max="4416" width="3.625" style="1" customWidth="1"/>
    <col min="4417" max="4417" width="2.125" style="1" customWidth="1"/>
    <col min="4418" max="4418" width="5" style="1" customWidth="1"/>
    <col min="4419" max="4419" width="6" style="1" customWidth="1"/>
    <col min="4420" max="4420" width="2.125" style="1" customWidth="1"/>
    <col min="4421" max="4421" width="5.625" style="1" customWidth="1"/>
    <col min="4422" max="4422" width="2.125" style="1" customWidth="1"/>
    <col min="4423" max="4423" width="5.625" style="1" customWidth="1"/>
    <col min="4424" max="4424" width="3.25" style="1" customWidth="1"/>
    <col min="4425" max="4427" width="3.625" style="1" customWidth="1"/>
    <col min="4428" max="4430" width="6.625" style="1" customWidth="1"/>
    <col min="4431" max="4608" width="9" style="1"/>
    <col min="4609" max="4617" width="5.625" style="1" customWidth="1"/>
    <col min="4618" max="4618" width="1.625" style="1" customWidth="1"/>
    <col min="4619" max="4619" width="4.625" style="1" customWidth="1"/>
    <col min="4620" max="4627" width="5.625" style="1" customWidth="1"/>
    <col min="4628" max="4628" width="4.125" style="1" customWidth="1"/>
    <col min="4629" max="4633" width="3.625" style="1" customWidth="1"/>
    <col min="4634" max="4634" width="2.125" style="1" customWidth="1"/>
    <col min="4635" max="4635" width="5" style="1" customWidth="1"/>
    <col min="4636" max="4636" width="6" style="1" customWidth="1"/>
    <col min="4637" max="4637" width="2.125" style="1" customWidth="1"/>
    <col min="4638" max="4638" width="5.625" style="1" customWidth="1"/>
    <col min="4639" max="4639" width="2.125" style="1" customWidth="1"/>
    <col min="4640" max="4640" width="5.625" style="1" customWidth="1"/>
    <col min="4641" max="4641" width="3.25" style="1" customWidth="1"/>
    <col min="4642" max="4644" width="3.625" style="1" customWidth="1"/>
    <col min="4645" max="4647" width="6.625" style="1" customWidth="1"/>
    <col min="4648" max="4656" width="5.625" style="1" customWidth="1"/>
    <col min="4657" max="4657" width="1.625" style="1" customWidth="1"/>
    <col min="4658" max="4658" width="4.625" style="1" customWidth="1"/>
    <col min="4659" max="4666" width="5.625" style="1" customWidth="1"/>
    <col min="4667" max="4667" width="4.125" style="1" customWidth="1"/>
    <col min="4668" max="4672" width="3.625" style="1" customWidth="1"/>
    <col min="4673" max="4673" width="2.125" style="1" customWidth="1"/>
    <col min="4674" max="4674" width="5" style="1" customWidth="1"/>
    <col min="4675" max="4675" width="6" style="1" customWidth="1"/>
    <col min="4676" max="4676" width="2.125" style="1" customWidth="1"/>
    <col min="4677" max="4677" width="5.625" style="1" customWidth="1"/>
    <col min="4678" max="4678" width="2.125" style="1" customWidth="1"/>
    <col min="4679" max="4679" width="5.625" style="1" customWidth="1"/>
    <col min="4680" max="4680" width="3.25" style="1" customWidth="1"/>
    <col min="4681" max="4683" width="3.625" style="1" customWidth="1"/>
    <col min="4684" max="4686" width="6.625" style="1" customWidth="1"/>
    <col min="4687" max="4864" width="9" style="1"/>
    <col min="4865" max="4873" width="5.625" style="1" customWidth="1"/>
    <col min="4874" max="4874" width="1.625" style="1" customWidth="1"/>
    <col min="4875" max="4875" width="4.625" style="1" customWidth="1"/>
    <col min="4876" max="4883" width="5.625" style="1" customWidth="1"/>
    <col min="4884" max="4884" width="4.125" style="1" customWidth="1"/>
    <col min="4885" max="4889" width="3.625" style="1" customWidth="1"/>
    <col min="4890" max="4890" width="2.125" style="1" customWidth="1"/>
    <col min="4891" max="4891" width="5" style="1" customWidth="1"/>
    <col min="4892" max="4892" width="6" style="1" customWidth="1"/>
    <col min="4893" max="4893" width="2.125" style="1" customWidth="1"/>
    <col min="4894" max="4894" width="5.625" style="1" customWidth="1"/>
    <col min="4895" max="4895" width="2.125" style="1" customWidth="1"/>
    <col min="4896" max="4896" width="5.625" style="1" customWidth="1"/>
    <col min="4897" max="4897" width="3.25" style="1" customWidth="1"/>
    <col min="4898" max="4900" width="3.625" style="1" customWidth="1"/>
    <col min="4901" max="4903" width="6.625" style="1" customWidth="1"/>
    <col min="4904" max="4912" width="5.625" style="1" customWidth="1"/>
    <col min="4913" max="4913" width="1.625" style="1" customWidth="1"/>
    <col min="4914" max="4914" width="4.625" style="1" customWidth="1"/>
    <col min="4915" max="4922" width="5.625" style="1" customWidth="1"/>
    <col min="4923" max="4923" width="4.125" style="1" customWidth="1"/>
    <col min="4924" max="4928" width="3.625" style="1" customWidth="1"/>
    <col min="4929" max="4929" width="2.125" style="1" customWidth="1"/>
    <col min="4930" max="4930" width="5" style="1" customWidth="1"/>
    <col min="4931" max="4931" width="6" style="1" customWidth="1"/>
    <col min="4932" max="4932" width="2.125" style="1" customWidth="1"/>
    <col min="4933" max="4933" width="5.625" style="1" customWidth="1"/>
    <col min="4934" max="4934" width="2.125" style="1" customWidth="1"/>
    <col min="4935" max="4935" width="5.625" style="1" customWidth="1"/>
    <col min="4936" max="4936" width="3.25" style="1" customWidth="1"/>
    <col min="4937" max="4939" width="3.625" style="1" customWidth="1"/>
    <col min="4940" max="4942" width="6.625" style="1" customWidth="1"/>
    <col min="4943" max="5120" width="9" style="1"/>
    <col min="5121" max="5129" width="5.625" style="1" customWidth="1"/>
    <col min="5130" max="5130" width="1.625" style="1" customWidth="1"/>
    <col min="5131" max="5131" width="4.625" style="1" customWidth="1"/>
    <col min="5132" max="5139" width="5.625" style="1" customWidth="1"/>
    <col min="5140" max="5140" width="4.125" style="1" customWidth="1"/>
    <col min="5141" max="5145" width="3.625" style="1" customWidth="1"/>
    <col min="5146" max="5146" width="2.125" style="1" customWidth="1"/>
    <col min="5147" max="5147" width="5" style="1" customWidth="1"/>
    <col min="5148" max="5148" width="6" style="1" customWidth="1"/>
    <col min="5149" max="5149" width="2.125" style="1" customWidth="1"/>
    <col min="5150" max="5150" width="5.625" style="1" customWidth="1"/>
    <col min="5151" max="5151" width="2.125" style="1" customWidth="1"/>
    <col min="5152" max="5152" width="5.625" style="1" customWidth="1"/>
    <col min="5153" max="5153" width="3.25" style="1" customWidth="1"/>
    <col min="5154" max="5156" width="3.625" style="1" customWidth="1"/>
    <col min="5157" max="5159" width="6.625" style="1" customWidth="1"/>
    <col min="5160" max="5168" width="5.625" style="1" customWidth="1"/>
    <col min="5169" max="5169" width="1.625" style="1" customWidth="1"/>
    <col min="5170" max="5170" width="4.625" style="1" customWidth="1"/>
    <col min="5171" max="5178" width="5.625" style="1" customWidth="1"/>
    <col min="5179" max="5179" width="4.125" style="1" customWidth="1"/>
    <col min="5180" max="5184" width="3.625" style="1" customWidth="1"/>
    <col min="5185" max="5185" width="2.125" style="1" customWidth="1"/>
    <col min="5186" max="5186" width="5" style="1" customWidth="1"/>
    <col min="5187" max="5187" width="6" style="1" customWidth="1"/>
    <col min="5188" max="5188" width="2.125" style="1" customWidth="1"/>
    <col min="5189" max="5189" width="5.625" style="1" customWidth="1"/>
    <col min="5190" max="5190" width="2.125" style="1" customWidth="1"/>
    <col min="5191" max="5191" width="5.625" style="1" customWidth="1"/>
    <col min="5192" max="5192" width="3.25" style="1" customWidth="1"/>
    <col min="5193" max="5195" width="3.625" style="1" customWidth="1"/>
    <col min="5196" max="5198" width="6.625" style="1" customWidth="1"/>
    <col min="5199" max="5376" width="9" style="1"/>
    <col min="5377" max="5385" width="5.625" style="1" customWidth="1"/>
    <col min="5386" max="5386" width="1.625" style="1" customWidth="1"/>
    <col min="5387" max="5387" width="4.625" style="1" customWidth="1"/>
    <col min="5388" max="5395" width="5.625" style="1" customWidth="1"/>
    <col min="5396" max="5396" width="4.125" style="1" customWidth="1"/>
    <col min="5397" max="5401" width="3.625" style="1" customWidth="1"/>
    <col min="5402" max="5402" width="2.125" style="1" customWidth="1"/>
    <col min="5403" max="5403" width="5" style="1" customWidth="1"/>
    <col min="5404" max="5404" width="6" style="1" customWidth="1"/>
    <col min="5405" max="5405" width="2.125" style="1" customWidth="1"/>
    <col min="5406" max="5406" width="5.625" style="1" customWidth="1"/>
    <col min="5407" max="5407" width="2.125" style="1" customWidth="1"/>
    <col min="5408" max="5408" width="5.625" style="1" customWidth="1"/>
    <col min="5409" max="5409" width="3.25" style="1" customWidth="1"/>
    <col min="5410" max="5412" width="3.625" style="1" customWidth="1"/>
    <col min="5413" max="5415" width="6.625" style="1" customWidth="1"/>
    <col min="5416" max="5424" width="5.625" style="1" customWidth="1"/>
    <col min="5425" max="5425" width="1.625" style="1" customWidth="1"/>
    <col min="5426" max="5426" width="4.625" style="1" customWidth="1"/>
    <col min="5427" max="5434" width="5.625" style="1" customWidth="1"/>
    <col min="5435" max="5435" width="4.125" style="1" customWidth="1"/>
    <col min="5436" max="5440" width="3.625" style="1" customWidth="1"/>
    <col min="5441" max="5441" width="2.125" style="1" customWidth="1"/>
    <col min="5442" max="5442" width="5" style="1" customWidth="1"/>
    <col min="5443" max="5443" width="6" style="1" customWidth="1"/>
    <col min="5444" max="5444" width="2.125" style="1" customWidth="1"/>
    <col min="5445" max="5445" width="5.625" style="1" customWidth="1"/>
    <col min="5446" max="5446" width="2.125" style="1" customWidth="1"/>
    <col min="5447" max="5447" width="5.625" style="1" customWidth="1"/>
    <col min="5448" max="5448" width="3.25" style="1" customWidth="1"/>
    <col min="5449" max="5451" width="3.625" style="1" customWidth="1"/>
    <col min="5452" max="5454" width="6.625" style="1" customWidth="1"/>
    <col min="5455" max="5632" width="9" style="1"/>
    <col min="5633" max="5641" width="5.625" style="1" customWidth="1"/>
    <col min="5642" max="5642" width="1.625" style="1" customWidth="1"/>
    <col min="5643" max="5643" width="4.625" style="1" customWidth="1"/>
    <col min="5644" max="5651" width="5.625" style="1" customWidth="1"/>
    <col min="5652" max="5652" width="4.125" style="1" customWidth="1"/>
    <col min="5653" max="5657" width="3.625" style="1" customWidth="1"/>
    <col min="5658" max="5658" width="2.125" style="1" customWidth="1"/>
    <col min="5659" max="5659" width="5" style="1" customWidth="1"/>
    <col min="5660" max="5660" width="6" style="1" customWidth="1"/>
    <col min="5661" max="5661" width="2.125" style="1" customWidth="1"/>
    <col min="5662" max="5662" width="5.625" style="1" customWidth="1"/>
    <col min="5663" max="5663" width="2.125" style="1" customWidth="1"/>
    <col min="5664" max="5664" width="5.625" style="1" customWidth="1"/>
    <col min="5665" max="5665" width="3.25" style="1" customWidth="1"/>
    <col min="5666" max="5668" width="3.625" style="1" customWidth="1"/>
    <col min="5669" max="5671" width="6.625" style="1" customWidth="1"/>
    <col min="5672" max="5680" width="5.625" style="1" customWidth="1"/>
    <col min="5681" max="5681" width="1.625" style="1" customWidth="1"/>
    <col min="5682" max="5682" width="4.625" style="1" customWidth="1"/>
    <col min="5683" max="5690" width="5.625" style="1" customWidth="1"/>
    <col min="5691" max="5691" width="4.125" style="1" customWidth="1"/>
    <col min="5692" max="5696" width="3.625" style="1" customWidth="1"/>
    <col min="5697" max="5697" width="2.125" style="1" customWidth="1"/>
    <col min="5698" max="5698" width="5" style="1" customWidth="1"/>
    <col min="5699" max="5699" width="6" style="1" customWidth="1"/>
    <col min="5700" max="5700" width="2.125" style="1" customWidth="1"/>
    <col min="5701" max="5701" width="5.625" style="1" customWidth="1"/>
    <col min="5702" max="5702" width="2.125" style="1" customWidth="1"/>
    <col min="5703" max="5703" width="5.625" style="1" customWidth="1"/>
    <col min="5704" max="5704" width="3.25" style="1" customWidth="1"/>
    <col min="5705" max="5707" width="3.625" style="1" customWidth="1"/>
    <col min="5708" max="5710" width="6.625" style="1" customWidth="1"/>
    <col min="5711" max="5888" width="9" style="1"/>
    <col min="5889" max="5897" width="5.625" style="1" customWidth="1"/>
    <col min="5898" max="5898" width="1.625" style="1" customWidth="1"/>
    <col min="5899" max="5899" width="4.625" style="1" customWidth="1"/>
    <col min="5900" max="5907" width="5.625" style="1" customWidth="1"/>
    <col min="5908" max="5908" width="4.125" style="1" customWidth="1"/>
    <col min="5909" max="5913" width="3.625" style="1" customWidth="1"/>
    <col min="5914" max="5914" width="2.125" style="1" customWidth="1"/>
    <col min="5915" max="5915" width="5" style="1" customWidth="1"/>
    <col min="5916" max="5916" width="6" style="1" customWidth="1"/>
    <col min="5917" max="5917" width="2.125" style="1" customWidth="1"/>
    <col min="5918" max="5918" width="5.625" style="1" customWidth="1"/>
    <col min="5919" max="5919" width="2.125" style="1" customWidth="1"/>
    <col min="5920" max="5920" width="5.625" style="1" customWidth="1"/>
    <col min="5921" max="5921" width="3.25" style="1" customWidth="1"/>
    <col min="5922" max="5924" width="3.625" style="1" customWidth="1"/>
    <col min="5925" max="5927" width="6.625" style="1" customWidth="1"/>
    <col min="5928" max="5936" width="5.625" style="1" customWidth="1"/>
    <col min="5937" max="5937" width="1.625" style="1" customWidth="1"/>
    <col min="5938" max="5938" width="4.625" style="1" customWidth="1"/>
    <col min="5939" max="5946" width="5.625" style="1" customWidth="1"/>
    <col min="5947" max="5947" width="4.125" style="1" customWidth="1"/>
    <col min="5948" max="5952" width="3.625" style="1" customWidth="1"/>
    <col min="5953" max="5953" width="2.125" style="1" customWidth="1"/>
    <col min="5954" max="5954" width="5" style="1" customWidth="1"/>
    <col min="5955" max="5955" width="6" style="1" customWidth="1"/>
    <col min="5956" max="5956" width="2.125" style="1" customWidth="1"/>
    <col min="5957" max="5957" width="5.625" style="1" customWidth="1"/>
    <col min="5958" max="5958" width="2.125" style="1" customWidth="1"/>
    <col min="5959" max="5959" width="5.625" style="1" customWidth="1"/>
    <col min="5960" max="5960" width="3.25" style="1" customWidth="1"/>
    <col min="5961" max="5963" width="3.625" style="1" customWidth="1"/>
    <col min="5964" max="5966" width="6.625" style="1" customWidth="1"/>
    <col min="5967" max="6144" width="9" style="1"/>
    <col min="6145" max="6153" width="5.625" style="1" customWidth="1"/>
    <col min="6154" max="6154" width="1.625" style="1" customWidth="1"/>
    <col min="6155" max="6155" width="4.625" style="1" customWidth="1"/>
    <col min="6156" max="6163" width="5.625" style="1" customWidth="1"/>
    <col min="6164" max="6164" width="4.125" style="1" customWidth="1"/>
    <col min="6165" max="6169" width="3.625" style="1" customWidth="1"/>
    <col min="6170" max="6170" width="2.125" style="1" customWidth="1"/>
    <col min="6171" max="6171" width="5" style="1" customWidth="1"/>
    <col min="6172" max="6172" width="6" style="1" customWidth="1"/>
    <col min="6173" max="6173" width="2.125" style="1" customWidth="1"/>
    <col min="6174" max="6174" width="5.625" style="1" customWidth="1"/>
    <col min="6175" max="6175" width="2.125" style="1" customWidth="1"/>
    <col min="6176" max="6176" width="5.625" style="1" customWidth="1"/>
    <col min="6177" max="6177" width="3.25" style="1" customWidth="1"/>
    <col min="6178" max="6180" width="3.625" style="1" customWidth="1"/>
    <col min="6181" max="6183" width="6.625" style="1" customWidth="1"/>
    <col min="6184" max="6192" width="5.625" style="1" customWidth="1"/>
    <col min="6193" max="6193" width="1.625" style="1" customWidth="1"/>
    <col min="6194" max="6194" width="4.625" style="1" customWidth="1"/>
    <col min="6195" max="6202" width="5.625" style="1" customWidth="1"/>
    <col min="6203" max="6203" width="4.125" style="1" customWidth="1"/>
    <col min="6204" max="6208" width="3.625" style="1" customWidth="1"/>
    <col min="6209" max="6209" width="2.125" style="1" customWidth="1"/>
    <col min="6210" max="6210" width="5" style="1" customWidth="1"/>
    <col min="6211" max="6211" width="6" style="1" customWidth="1"/>
    <col min="6212" max="6212" width="2.125" style="1" customWidth="1"/>
    <col min="6213" max="6213" width="5.625" style="1" customWidth="1"/>
    <col min="6214" max="6214" width="2.125" style="1" customWidth="1"/>
    <col min="6215" max="6215" width="5.625" style="1" customWidth="1"/>
    <col min="6216" max="6216" width="3.25" style="1" customWidth="1"/>
    <col min="6217" max="6219" width="3.625" style="1" customWidth="1"/>
    <col min="6220" max="6222" width="6.625" style="1" customWidth="1"/>
    <col min="6223" max="6400" width="9" style="1"/>
    <col min="6401" max="6409" width="5.625" style="1" customWidth="1"/>
    <col min="6410" max="6410" width="1.625" style="1" customWidth="1"/>
    <col min="6411" max="6411" width="4.625" style="1" customWidth="1"/>
    <col min="6412" max="6419" width="5.625" style="1" customWidth="1"/>
    <col min="6420" max="6420" width="4.125" style="1" customWidth="1"/>
    <col min="6421" max="6425" width="3.625" style="1" customWidth="1"/>
    <col min="6426" max="6426" width="2.125" style="1" customWidth="1"/>
    <col min="6427" max="6427" width="5" style="1" customWidth="1"/>
    <col min="6428" max="6428" width="6" style="1" customWidth="1"/>
    <col min="6429" max="6429" width="2.125" style="1" customWidth="1"/>
    <col min="6430" max="6430" width="5.625" style="1" customWidth="1"/>
    <col min="6431" max="6431" width="2.125" style="1" customWidth="1"/>
    <col min="6432" max="6432" width="5.625" style="1" customWidth="1"/>
    <col min="6433" max="6433" width="3.25" style="1" customWidth="1"/>
    <col min="6434" max="6436" width="3.625" style="1" customWidth="1"/>
    <col min="6437" max="6439" width="6.625" style="1" customWidth="1"/>
    <col min="6440" max="6448" width="5.625" style="1" customWidth="1"/>
    <col min="6449" max="6449" width="1.625" style="1" customWidth="1"/>
    <col min="6450" max="6450" width="4.625" style="1" customWidth="1"/>
    <col min="6451" max="6458" width="5.625" style="1" customWidth="1"/>
    <col min="6459" max="6459" width="4.125" style="1" customWidth="1"/>
    <col min="6460" max="6464" width="3.625" style="1" customWidth="1"/>
    <col min="6465" max="6465" width="2.125" style="1" customWidth="1"/>
    <col min="6466" max="6466" width="5" style="1" customWidth="1"/>
    <col min="6467" max="6467" width="6" style="1" customWidth="1"/>
    <col min="6468" max="6468" width="2.125" style="1" customWidth="1"/>
    <col min="6469" max="6469" width="5.625" style="1" customWidth="1"/>
    <col min="6470" max="6470" width="2.125" style="1" customWidth="1"/>
    <col min="6471" max="6471" width="5.625" style="1" customWidth="1"/>
    <col min="6472" max="6472" width="3.25" style="1" customWidth="1"/>
    <col min="6473" max="6475" width="3.625" style="1" customWidth="1"/>
    <col min="6476" max="6478" width="6.625" style="1" customWidth="1"/>
    <col min="6479" max="6656" width="9" style="1"/>
    <col min="6657" max="6665" width="5.625" style="1" customWidth="1"/>
    <col min="6666" max="6666" width="1.625" style="1" customWidth="1"/>
    <col min="6667" max="6667" width="4.625" style="1" customWidth="1"/>
    <col min="6668" max="6675" width="5.625" style="1" customWidth="1"/>
    <col min="6676" max="6676" width="4.125" style="1" customWidth="1"/>
    <col min="6677" max="6681" width="3.625" style="1" customWidth="1"/>
    <col min="6682" max="6682" width="2.125" style="1" customWidth="1"/>
    <col min="6683" max="6683" width="5" style="1" customWidth="1"/>
    <col min="6684" max="6684" width="6" style="1" customWidth="1"/>
    <col min="6685" max="6685" width="2.125" style="1" customWidth="1"/>
    <col min="6686" max="6686" width="5.625" style="1" customWidth="1"/>
    <col min="6687" max="6687" width="2.125" style="1" customWidth="1"/>
    <col min="6688" max="6688" width="5.625" style="1" customWidth="1"/>
    <col min="6689" max="6689" width="3.25" style="1" customWidth="1"/>
    <col min="6690" max="6692" width="3.625" style="1" customWidth="1"/>
    <col min="6693" max="6695" width="6.625" style="1" customWidth="1"/>
    <col min="6696" max="6704" width="5.625" style="1" customWidth="1"/>
    <col min="6705" max="6705" width="1.625" style="1" customWidth="1"/>
    <col min="6706" max="6706" width="4.625" style="1" customWidth="1"/>
    <col min="6707" max="6714" width="5.625" style="1" customWidth="1"/>
    <col min="6715" max="6715" width="4.125" style="1" customWidth="1"/>
    <col min="6716" max="6720" width="3.625" style="1" customWidth="1"/>
    <col min="6721" max="6721" width="2.125" style="1" customWidth="1"/>
    <col min="6722" max="6722" width="5" style="1" customWidth="1"/>
    <col min="6723" max="6723" width="6" style="1" customWidth="1"/>
    <col min="6724" max="6724" width="2.125" style="1" customWidth="1"/>
    <col min="6725" max="6725" width="5.625" style="1" customWidth="1"/>
    <col min="6726" max="6726" width="2.125" style="1" customWidth="1"/>
    <col min="6727" max="6727" width="5.625" style="1" customWidth="1"/>
    <col min="6728" max="6728" width="3.25" style="1" customWidth="1"/>
    <col min="6729" max="6731" width="3.625" style="1" customWidth="1"/>
    <col min="6732" max="6734" width="6.625" style="1" customWidth="1"/>
    <col min="6735" max="6912" width="9" style="1"/>
    <col min="6913" max="6921" width="5.625" style="1" customWidth="1"/>
    <col min="6922" max="6922" width="1.625" style="1" customWidth="1"/>
    <col min="6923" max="6923" width="4.625" style="1" customWidth="1"/>
    <col min="6924" max="6931" width="5.625" style="1" customWidth="1"/>
    <col min="6932" max="6932" width="4.125" style="1" customWidth="1"/>
    <col min="6933" max="6937" width="3.625" style="1" customWidth="1"/>
    <col min="6938" max="6938" width="2.125" style="1" customWidth="1"/>
    <col min="6939" max="6939" width="5" style="1" customWidth="1"/>
    <col min="6940" max="6940" width="6" style="1" customWidth="1"/>
    <col min="6941" max="6941" width="2.125" style="1" customWidth="1"/>
    <col min="6942" max="6942" width="5.625" style="1" customWidth="1"/>
    <col min="6943" max="6943" width="2.125" style="1" customWidth="1"/>
    <col min="6944" max="6944" width="5.625" style="1" customWidth="1"/>
    <col min="6945" max="6945" width="3.25" style="1" customWidth="1"/>
    <col min="6946" max="6948" width="3.625" style="1" customWidth="1"/>
    <col min="6949" max="6951" width="6.625" style="1" customWidth="1"/>
    <col min="6952" max="6960" width="5.625" style="1" customWidth="1"/>
    <col min="6961" max="6961" width="1.625" style="1" customWidth="1"/>
    <col min="6962" max="6962" width="4.625" style="1" customWidth="1"/>
    <col min="6963" max="6970" width="5.625" style="1" customWidth="1"/>
    <col min="6971" max="6971" width="4.125" style="1" customWidth="1"/>
    <col min="6972" max="6976" width="3.625" style="1" customWidth="1"/>
    <col min="6977" max="6977" width="2.125" style="1" customWidth="1"/>
    <col min="6978" max="6978" width="5" style="1" customWidth="1"/>
    <col min="6979" max="6979" width="6" style="1" customWidth="1"/>
    <col min="6980" max="6980" width="2.125" style="1" customWidth="1"/>
    <col min="6981" max="6981" width="5.625" style="1" customWidth="1"/>
    <col min="6982" max="6982" width="2.125" style="1" customWidth="1"/>
    <col min="6983" max="6983" width="5.625" style="1" customWidth="1"/>
    <col min="6984" max="6984" width="3.25" style="1" customWidth="1"/>
    <col min="6985" max="6987" width="3.625" style="1" customWidth="1"/>
    <col min="6988" max="6990" width="6.625" style="1" customWidth="1"/>
    <col min="6991" max="7168" width="9" style="1"/>
    <col min="7169" max="7177" width="5.625" style="1" customWidth="1"/>
    <col min="7178" max="7178" width="1.625" style="1" customWidth="1"/>
    <col min="7179" max="7179" width="4.625" style="1" customWidth="1"/>
    <col min="7180" max="7187" width="5.625" style="1" customWidth="1"/>
    <col min="7188" max="7188" width="4.125" style="1" customWidth="1"/>
    <col min="7189" max="7193" width="3.625" style="1" customWidth="1"/>
    <col min="7194" max="7194" width="2.125" style="1" customWidth="1"/>
    <col min="7195" max="7195" width="5" style="1" customWidth="1"/>
    <col min="7196" max="7196" width="6" style="1" customWidth="1"/>
    <col min="7197" max="7197" width="2.125" style="1" customWidth="1"/>
    <col min="7198" max="7198" width="5.625" style="1" customWidth="1"/>
    <col min="7199" max="7199" width="2.125" style="1" customWidth="1"/>
    <col min="7200" max="7200" width="5.625" style="1" customWidth="1"/>
    <col min="7201" max="7201" width="3.25" style="1" customWidth="1"/>
    <col min="7202" max="7204" width="3.625" style="1" customWidth="1"/>
    <col min="7205" max="7207" width="6.625" style="1" customWidth="1"/>
    <col min="7208" max="7216" width="5.625" style="1" customWidth="1"/>
    <col min="7217" max="7217" width="1.625" style="1" customWidth="1"/>
    <col min="7218" max="7218" width="4.625" style="1" customWidth="1"/>
    <col min="7219" max="7226" width="5.625" style="1" customWidth="1"/>
    <col min="7227" max="7227" width="4.125" style="1" customWidth="1"/>
    <col min="7228" max="7232" width="3.625" style="1" customWidth="1"/>
    <col min="7233" max="7233" width="2.125" style="1" customWidth="1"/>
    <col min="7234" max="7234" width="5" style="1" customWidth="1"/>
    <col min="7235" max="7235" width="6" style="1" customWidth="1"/>
    <col min="7236" max="7236" width="2.125" style="1" customWidth="1"/>
    <col min="7237" max="7237" width="5.625" style="1" customWidth="1"/>
    <col min="7238" max="7238" width="2.125" style="1" customWidth="1"/>
    <col min="7239" max="7239" width="5.625" style="1" customWidth="1"/>
    <col min="7240" max="7240" width="3.25" style="1" customWidth="1"/>
    <col min="7241" max="7243" width="3.625" style="1" customWidth="1"/>
    <col min="7244" max="7246" width="6.625" style="1" customWidth="1"/>
    <col min="7247" max="7424" width="9" style="1"/>
    <col min="7425" max="7433" width="5.625" style="1" customWidth="1"/>
    <col min="7434" max="7434" width="1.625" style="1" customWidth="1"/>
    <col min="7435" max="7435" width="4.625" style="1" customWidth="1"/>
    <col min="7436" max="7443" width="5.625" style="1" customWidth="1"/>
    <col min="7444" max="7444" width="4.125" style="1" customWidth="1"/>
    <col min="7445" max="7449" width="3.625" style="1" customWidth="1"/>
    <col min="7450" max="7450" width="2.125" style="1" customWidth="1"/>
    <col min="7451" max="7451" width="5" style="1" customWidth="1"/>
    <col min="7452" max="7452" width="6" style="1" customWidth="1"/>
    <col min="7453" max="7453" width="2.125" style="1" customWidth="1"/>
    <col min="7454" max="7454" width="5.625" style="1" customWidth="1"/>
    <col min="7455" max="7455" width="2.125" style="1" customWidth="1"/>
    <col min="7456" max="7456" width="5.625" style="1" customWidth="1"/>
    <col min="7457" max="7457" width="3.25" style="1" customWidth="1"/>
    <col min="7458" max="7460" width="3.625" style="1" customWidth="1"/>
    <col min="7461" max="7463" width="6.625" style="1" customWidth="1"/>
    <col min="7464" max="7472" width="5.625" style="1" customWidth="1"/>
    <col min="7473" max="7473" width="1.625" style="1" customWidth="1"/>
    <col min="7474" max="7474" width="4.625" style="1" customWidth="1"/>
    <col min="7475" max="7482" width="5.625" style="1" customWidth="1"/>
    <col min="7483" max="7483" width="4.125" style="1" customWidth="1"/>
    <col min="7484" max="7488" width="3.625" style="1" customWidth="1"/>
    <col min="7489" max="7489" width="2.125" style="1" customWidth="1"/>
    <col min="7490" max="7490" width="5" style="1" customWidth="1"/>
    <col min="7491" max="7491" width="6" style="1" customWidth="1"/>
    <col min="7492" max="7492" width="2.125" style="1" customWidth="1"/>
    <col min="7493" max="7493" width="5.625" style="1" customWidth="1"/>
    <col min="7494" max="7494" width="2.125" style="1" customWidth="1"/>
    <col min="7495" max="7495" width="5.625" style="1" customWidth="1"/>
    <col min="7496" max="7496" width="3.25" style="1" customWidth="1"/>
    <col min="7497" max="7499" width="3.625" style="1" customWidth="1"/>
    <col min="7500" max="7502" width="6.625" style="1" customWidth="1"/>
    <col min="7503" max="7680" width="9" style="1"/>
    <col min="7681" max="7689" width="5.625" style="1" customWidth="1"/>
    <col min="7690" max="7690" width="1.625" style="1" customWidth="1"/>
    <col min="7691" max="7691" width="4.625" style="1" customWidth="1"/>
    <col min="7692" max="7699" width="5.625" style="1" customWidth="1"/>
    <col min="7700" max="7700" width="4.125" style="1" customWidth="1"/>
    <col min="7701" max="7705" width="3.625" style="1" customWidth="1"/>
    <col min="7706" max="7706" width="2.125" style="1" customWidth="1"/>
    <col min="7707" max="7707" width="5" style="1" customWidth="1"/>
    <col min="7708" max="7708" width="6" style="1" customWidth="1"/>
    <col min="7709" max="7709" width="2.125" style="1" customWidth="1"/>
    <col min="7710" max="7710" width="5.625" style="1" customWidth="1"/>
    <col min="7711" max="7711" width="2.125" style="1" customWidth="1"/>
    <col min="7712" max="7712" width="5.625" style="1" customWidth="1"/>
    <col min="7713" max="7713" width="3.25" style="1" customWidth="1"/>
    <col min="7714" max="7716" width="3.625" style="1" customWidth="1"/>
    <col min="7717" max="7719" width="6.625" style="1" customWidth="1"/>
    <col min="7720" max="7728" width="5.625" style="1" customWidth="1"/>
    <col min="7729" max="7729" width="1.625" style="1" customWidth="1"/>
    <col min="7730" max="7730" width="4.625" style="1" customWidth="1"/>
    <col min="7731" max="7738" width="5.625" style="1" customWidth="1"/>
    <col min="7739" max="7739" width="4.125" style="1" customWidth="1"/>
    <col min="7740" max="7744" width="3.625" style="1" customWidth="1"/>
    <col min="7745" max="7745" width="2.125" style="1" customWidth="1"/>
    <col min="7746" max="7746" width="5" style="1" customWidth="1"/>
    <col min="7747" max="7747" width="6" style="1" customWidth="1"/>
    <col min="7748" max="7748" width="2.125" style="1" customWidth="1"/>
    <col min="7749" max="7749" width="5.625" style="1" customWidth="1"/>
    <col min="7750" max="7750" width="2.125" style="1" customWidth="1"/>
    <col min="7751" max="7751" width="5.625" style="1" customWidth="1"/>
    <col min="7752" max="7752" width="3.25" style="1" customWidth="1"/>
    <col min="7753" max="7755" width="3.625" style="1" customWidth="1"/>
    <col min="7756" max="7758" width="6.625" style="1" customWidth="1"/>
    <col min="7759" max="7936" width="9" style="1"/>
    <col min="7937" max="7945" width="5.625" style="1" customWidth="1"/>
    <col min="7946" max="7946" width="1.625" style="1" customWidth="1"/>
    <col min="7947" max="7947" width="4.625" style="1" customWidth="1"/>
    <col min="7948" max="7955" width="5.625" style="1" customWidth="1"/>
    <col min="7956" max="7956" width="4.125" style="1" customWidth="1"/>
    <col min="7957" max="7961" width="3.625" style="1" customWidth="1"/>
    <col min="7962" max="7962" width="2.125" style="1" customWidth="1"/>
    <col min="7963" max="7963" width="5" style="1" customWidth="1"/>
    <col min="7964" max="7964" width="6" style="1" customWidth="1"/>
    <col min="7965" max="7965" width="2.125" style="1" customWidth="1"/>
    <col min="7966" max="7966" width="5.625" style="1" customWidth="1"/>
    <col min="7967" max="7967" width="2.125" style="1" customWidth="1"/>
    <col min="7968" max="7968" width="5.625" style="1" customWidth="1"/>
    <col min="7969" max="7969" width="3.25" style="1" customWidth="1"/>
    <col min="7970" max="7972" width="3.625" style="1" customWidth="1"/>
    <col min="7973" max="7975" width="6.625" style="1" customWidth="1"/>
    <col min="7976" max="7984" width="5.625" style="1" customWidth="1"/>
    <col min="7985" max="7985" width="1.625" style="1" customWidth="1"/>
    <col min="7986" max="7986" width="4.625" style="1" customWidth="1"/>
    <col min="7987" max="7994" width="5.625" style="1" customWidth="1"/>
    <col min="7995" max="7995" width="4.125" style="1" customWidth="1"/>
    <col min="7996" max="8000" width="3.625" style="1" customWidth="1"/>
    <col min="8001" max="8001" width="2.125" style="1" customWidth="1"/>
    <col min="8002" max="8002" width="5" style="1" customWidth="1"/>
    <col min="8003" max="8003" width="6" style="1" customWidth="1"/>
    <col min="8004" max="8004" width="2.125" style="1" customWidth="1"/>
    <col min="8005" max="8005" width="5.625" style="1" customWidth="1"/>
    <col min="8006" max="8006" width="2.125" style="1" customWidth="1"/>
    <col min="8007" max="8007" width="5.625" style="1" customWidth="1"/>
    <col min="8008" max="8008" width="3.25" style="1" customWidth="1"/>
    <col min="8009" max="8011" width="3.625" style="1" customWidth="1"/>
    <col min="8012" max="8014" width="6.625" style="1" customWidth="1"/>
    <col min="8015" max="8192" width="9" style="1"/>
    <col min="8193" max="8201" width="5.625" style="1" customWidth="1"/>
    <col min="8202" max="8202" width="1.625" style="1" customWidth="1"/>
    <col min="8203" max="8203" width="4.625" style="1" customWidth="1"/>
    <col min="8204" max="8211" width="5.625" style="1" customWidth="1"/>
    <col min="8212" max="8212" width="4.125" style="1" customWidth="1"/>
    <col min="8213" max="8217" width="3.625" style="1" customWidth="1"/>
    <col min="8218" max="8218" width="2.125" style="1" customWidth="1"/>
    <col min="8219" max="8219" width="5" style="1" customWidth="1"/>
    <col min="8220" max="8220" width="6" style="1" customWidth="1"/>
    <col min="8221" max="8221" width="2.125" style="1" customWidth="1"/>
    <col min="8222" max="8222" width="5.625" style="1" customWidth="1"/>
    <col min="8223" max="8223" width="2.125" style="1" customWidth="1"/>
    <col min="8224" max="8224" width="5.625" style="1" customWidth="1"/>
    <col min="8225" max="8225" width="3.25" style="1" customWidth="1"/>
    <col min="8226" max="8228" width="3.625" style="1" customWidth="1"/>
    <col min="8229" max="8231" width="6.625" style="1" customWidth="1"/>
    <col min="8232" max="8240" width="5.625" style="1" customWidth="1"/>
    <col min="8241" max="8241" width="1.625" style="1" customWidth="1"/>
    <col min="8242" max="8242" width="4.625" style="1" customWidth="1"/>
    <col min="8243" max="8250" width="5.625" style="1" customWidth="1"/>
    <col min="8251" max="8251" width="4.125" style="1" customWidth="1"/>
    <col min="8252" max="8256" width="3.625" style="1" customWidth="1"/>
    <col min="8257" max="8257" width="2.125" style="1" customWidth="1"/>
    <col min="8258" max="8258" width="5" style="1" customWidth="1"/>
    <col min="8259" max="8259" width="6" style="1" customWidth="1"/>
    <col min="8260" max="8260" width="2.125" style="1" customWidth="1"/>
    <col min="8261" max="8261" width="5.625" style="1" customWidth="1"/>
    <col min="8262" max="8262" width="2.125" style="1" customWidth="1"/>
    <col min="8263" max="8263" width="5.625" style="1" customWidth="1"/>
    <col min="8264" max="8264" width="3.25" style="1" customWidth="1"/>
    <col min="8265" max="8267" width="3.625" style="1" customWidth="1"/>
    <col min="8268" max="8270" width="6.625" style="1" customWidth="1"/>
    <col min="8271" max="8448" width="9" style="1"/>
    <col min="8449" max="8457" width="5.625" style="1" customWidth="1"/>
    <col min="8458" max="8458" width="1.625" style="1" customWidth="1"/>
    <col min="8459" max="8459" width="4.625" style="1" customWidth="1"/>
    <col min="8460" max="8467" width="5.625" style="1" customWidth="1"/>
    <col min="8468" max="8468" width="4.125" style="1" customWidth="1"/>
    <col min="8469" max="8473" width="3.625" style="1" customWidth="1"/>
    <col min="8474" max="8474" width="2.125" style="1" customWidth="1"/>
    <col min="8475" max="8475" width="5" style="1" customWidth="1"/>
    <col min="8476" max="8476" width="6" style="1" customWidth="1"/>
    <col min="8477" max="8477" width="2.125" style="1" customWidth="1"/>
    <col min="8478" max="8478" width="5.625" style="1" customWidth="1"/>
    <col min="8479" max="8479" width="2.125" style="1" customWidth="1"/>
    <col min="8480" max="8480" width="5.625" style="1" customWidth="1"/>
    <col min="8481" max="8481" width="3.25" style="1" customWidth="1"/>
    <col min="8482" max="8484" width="3.625" style="1" customWidth="1"/>
    <col min="8485" max="8487" width="6.625" style="1" customWidth="1"/>
    <col min="8488" max="8496" width="5.625" style="1" customWidth="1"/>
    <col min="8497" max="8497" width="1.625" style="1" customWidth="1"/>
    <col min="8498" max="8498" width="4.625" style="1" customWidth="1"/>
    <col min="8499" max="8506" width="5.625" style="1" customWidth="1"/>
    <col min="8507" max="8507" width="4.125" style="1" customWidth="1"/>
    <col min="8508" max="8512" width="3.625" style="1" customWidth="1"/>
    <col min="8513" max="8513" width="2.125" style="1" customWidth="1"/>
    <col min="8514" max="8514" width="5" style="1" customWidth="1"/>
    <col min="8515" max="8515" width="6" style="1" customWidth="1"/>
    <col min="8516" max="8516" width="2.125" style="1" customWidth="1"/>
    <col min="8517" max="8517" width="5.625" style="1" customWidth="1"/>
    <col min="8518" max="8518" width="2.125" style="1" customWidth="1"/>
    <col min="8519" max="8519" width="5.625" style="1" customWidth="1"/>
    <col min="8520" max="8520" width="3.25" style="1" customWidth="1"/>
    <col min="8521" max="8523" width="3.625" style="1" customWidth="1"/>
    <col min="8524" max="8526" width="6.625" style="1" customWidth="1"/>
    <col min="8527" max="8704" width="9" style="1"/>
    <col min="8705" max="8713" width="5.625" style="1" customWidth="1"/>
    <col min="8714" max="8714" width="1.625" style="1" customWidth="1"/>
    <col min="8715" max="8715" width="4.625" style="1" customWidth="1"/>
    <col min="8716" max="8723" width="5.625" style="1" customWidth="1"/>
    <col min="8724" max="8724" width="4.125" style="1" customWidth="1"/>
    <col min="8725" max="8729" width="3.625" style="1" customWidth="1"/>
    <col min="8730" max="8730" width="2.125" style="1" customWidth="1"/>
    <col min="8731" max="8731" width="5" style="1" customWidth="1"/>
    <col min="8732" max="8732" width="6" style="1" customWidth="1"/>
    <col min="8733" max="8733" width="2.125" style="1" customWidth="1"/>
    <col min="8734" max="8734" width="5.625" style="1" customWidth="1"/>
    <col min="8735" max="8735" width="2.125" style="1" customWidth="1"/>
    <col min="8736" max="8736" width="5.625" style="1" customWidth="1"/>
    <col min="8737" max="8737" width="3.25" style="1" customWidth="1"/>
    <col min="8738" max="8740" width="3.625" style="1" customWidth="1"/>
    <col min="8741" max="8743" width="6.625" style="1" customWidth="1"/>
    <col min="8744" max="8752" width="5.625" style="1" customWidth="1"/>
    <col min="8753" max="8753" width="1.625" style="1" customWidth="1"/>
    <col min="8754" max="8754" width="4.625" style="1" customWidth="1"/>
    <col min="8755" max="8762" width="5.625" style="1" customWidth="1"/>
    <col min="8763" max="8763" width="4.125" style="1" customWidth="1"/>
    <col min="8764" max="8768" width="3.625" style="1" customWidth="1"/>
    <col min="8769" max="8769" width="2.125" style="1" customWidth="1"/>
    <col min="8770" max="8770" width="5" style="1" customWidth="1"/>
    <col min="8771" max="8771" width="6" style="1" customWidth="1"/>
    <col min="8772" max="8772" width="2.125" style="1" customWidth="1"/>
    <col min="8773" max="8773" width="5.625" style="1" customWidth="1"/>
    <col min="8774" max="8774" width="2.125" style="1" customWidth="1"/>
    <col min="8775" max="8775" width="5.625" style="1" customWidth="1"/>
    <col min="8776" max="8776" width="3.25" style="1" customWidth="1"/>
    <col min="8777" max="8779" width="3.625" style="1" customWidth="1"/>
    <col min="8780" max="8782" width="6.625" style="1" customWidth="1"/>
    <col min="8783" max="8960" width="9" style="1"/>
    <col min="8961" max="8969" width="5.625" style="1" customWidth="1"/>
    <col min="8970" max="8970" width="1.625" style="1" customWidth="1"/>
    <col min="8971" max="8971" width="4.625" style="1" customWidth="1"/>
    <col min="8972" max="8979" width="5.625" style="1" customWidth="1"/>
    <col min="8980" max="8980" width="4.125" style="1" customWidth="1"/>
    <col min="8981" max="8985" width="3.625" style="1" customWidth="1"/>
    <col min="8986" max="8986" width="2.125" style="1" customWidth="1"/>
    <col min="8987" max="8987" width="5" style="1" customWidth="1"/>
    <col min="8988" max="8988" width="6" style="1" customWidth="1"/>
    <col min="8989" max="8989" width="2.125" style="1" customWidth="1"/>
    <col min="8990" max="8990" width="5.625" style="1" customWidth="1"/>
    <col min="8991" max="8991" width="2.125" style="1" customWidth="1"/>
    <col min="8992" max="8992" width="5.625" style="1" customWidth="1"/>
    <col min="8993" max="8993" width="3.25" style="1" customWidth="1"/>
    <col min="8994" max="8996" width="3.625" style="1" customWidth="1"/>
    <col min="8997" max="8999" width="6.625" style="1" customWidth="1"/>
    <col min="9000" max="9008" width="5.625" style="1" customWidth="1"/>
    <col min="9009" max="9009" width="1.625" style="1" customWidth="1"/>
    <col min="9010" max="9010" width="4.625" style="1" customWidth="1"/>
    <col min="9011" max="9018" width="5.625" style="1" customWidth="1"/>
    <col min="9019" max="9019" width="4.125" style="1" customWidth="1"/>
    <col min="9020" max="9024" width="3.625" style="1" customWidth="1"/>
    <col min="9025" max="9025" width="2.125" style="1" customWidth="1"/>
    <col min="9026" max="9026" width="5" style="1" customWidth="1"/>
    <col min="9027" max="9027" width="6" style="1" customWidth="1"/>
    <col min="9028" max="9028" width="2.125" style="1" customWidth="1"/>
    <col min="9029" max="9029" width="5.625" style="1" customWidth="1"/>
    <col min="9030" max="9030" width="2.125" style="1" customWidth="1"/>
    <col min="9031" max="9031" width="5.625" style="1" customWidth="1"/>
    <col min="9032" max="9032" width="3.25" style="1" customWidth="1"/>
    <col min="9033" max="9035" width="3.625" style="1" customWidth="1"/>
    <col min="9036" max="9038" width="6.625" style="1" customWidth="1"/>
    <col min="9039" max="9216" width="9" style="1"/>
    <col min="9217" max="9225" width="5.625" style="1" customWidth="1"/>
    <col min="9226" max="9226" width="1.625" style="1" customWidth="1"/>
    <col min="9227" max="9227" width="4.625" style="1" customWidth="1"/>
    <col min="9228" max="9235" width="5.625" style="1" customWidth="1"/>
    <col min="9236" max="9236" width="4.125" style="1" customWidth="1"/>
    <col min="9237" max="9241" width="3.625" style="1" customWidth="1"/>
    <col min="9242" max="9242" width="2.125" style="1" customWidth="1"/>
    <col min="9243" max="9243" width="5" style="1" customWidth="1"/>
    <col min="9244" max="9244" width="6" style="1" customWidth="1"/>
    <col min="9245" max="9245" width="2.125" style="1" customWidth="1"/>
    <col min="9246" max="9246" width="5.625" style="1" customWidth="1"/>
    <col min="9247" max="9247" width="2.125" style="1" customWidth="1"/>
    <col min="9248" max="9248" width="5.625" style="1" customWidth="1"/>
    <col min="9249" max="9249" width="3.25" style="1" customWidth="1"/>
    <col min="9250" max="9252" width="3.625" style="1" customWidth="1"/>
    <col min="9253" max="9255" width="6.625" style="1" customWidth="1"/>
    <col min="9256" max="9264" width="5.625" style="1" customWidth="1"/>
    <col min="9265" max="9265" width="1.625" style="1" customWidth="1"/>
    <col min="9266" max="9266" width="4.625" style="1" customWidth="1"/>
    <col min="9267" max="9274" width="5.625" style="1" customWidth="1"/>
    <col min="9275" max="9275" width="4.125" style="1" customWidth="1"/>
    <col min="9276" max="9280" width="3.625" style="1" customWidth="1"/>
    <col min="9281" max="9281" width="2.125" style="1" customWidth="1"/>
    <col min="9282" max="9282" width="5" style="1" customWidth="1"/>
    <col min="9283" max="9283" width="6" style="1" customWidth="1"/>
    <col min="9284" max="9284" width="2.125" style="1" customWidth="1"/>
    <col min="9285" max="9285" width="5.625" style="1" customWidth="1"/>
    <col min="9286" max="9286" width="2.125" style="1" customWidth="1"/>
    <col min="9287" max="9287" width="5.625" style="1" customWidth="1"/>
    <col min="9288" max="9288" width="3.25" style="1" customWidth="1"/>
    <col min="9289" max="9291" width="3.625" style="1" customWidth="1"/>
    <col min="9292" max="9294" width="6.625" style="1" customWidth="1"/>
    <col min="9295" max="9472" width="9" style="1"/>
    <col min="9473" max="9481" width="5.625" style="1" customWidth="1"/>
    <col min="9482" max="9482" width="1.625" style="1" customWidth="1"/>
    <col min="9483" max="9483" width="4.625" style="1" customWidth="1"/>
    <col min="9484" max="9491" width="5.625" style="1" customWidth="1"/>
    <col min="9492" max="9492" width="4.125" style="1" customWidth="1"/>
    <col min="9493" max="9497" width="3.625" style="1" customWidth="1"/>
    <col min="9498" max="9498" width="2.125" style="1" customWidth="1"/>
    <col min="9499" max="9499" width="5" style="1" customWidth="1"/>
    <col min="9500" max="9500" width="6" style="1" customWidth="1"/>
    <col min="9501" max="9501" width="2.125" style="1" customWidth="1"/>
    <col min="9502" max="9502" width="5.625" style="1" customWidth="1"/>
    <col min="9503" max="9503" width="2.125" style="1" customWidth="1"/>
    <col min="9504" max="9504" width="5.625" style="1" customWidth="1"/>
    <col min="9505" max="9505" width="3.25" style="1" customWidth="1"/>
    <col min="9506" max="9508" width="3.625" style="1" customWidth="1"/>
    <col min="9509" max="9511" width="6.625" style="1" customWidth="1"/>
    <col min="9512" max="9520" width="5.625" style="1" customWidth="1"/>
    <col min="9521" max="9521" width="1.625" style="1" customWidth="1"/>
    <col min="9522" max="9522" width="4.625" style="1" customWidth="1"/>
    <col min="9523" max="9530" width="5.625" style="1" customWidth="1"/>
    <col min="9531" max="9531" width="4.125" style="1" customWidth="1"/>
    <col min="9532" max="9536" width="3.625" style="1" customWidth="1"/>
    <col min="9537" max="9537" width="2.125" style="1" customWidth="1"/>
    <col min="9538" max="9538" width="5" style="1" customWidth="1"/>
    <col min="9539" max="9539" width="6" style="1" customWidth="1"/>
    <col min="9540" max="9540" width="2.125" style="1" customWidth="1"/>
    <col min="9541" max="9541" width="5.625" style="1" customWidth="1"/>
    <col min="9542" max="9542" width="2.125" style="1" customWidth="1"/>
    <col min="9543" max="9543" width="5.625" style="1" customWidth="1"/>
    <col min="9544" max="9544" width="3.25" style="1" customWidth="1"/>
    <col min="9545" max="9547" width="3.625" style="1" customWidth="1"/>
    <col min="9548" max="9550" width="6.625" style="1" customWidth="1"/>
    <col min="9551" max="9728" width="9" style="1"/>
    <col min="9729" max="9737" width="5.625" style="1" customWidth="1"/>
    <col min="9738" max="9738" width="1.625" style="1" customWidth="1"/>
    <col min="9739" max="9739" width="4.625" style="1" customWidth="1"/>
    <col min="9740" max="9747" width="5.625" style="1" customWidth="1"/>
    <col min="9748" max="9748" width="4.125" style="1" customWidth="1"/>
    <col min="9749" max="9753" width="3.625" style="1" customWidth="1"/>
    <col min="9754" max="9754" width="2.125" style="1" customWidth="1"/>
    <col min="9755" max="9755" width="5" style="1" customWidth="1"/>
    <col min="9756" max="9756" width="6" style="1" customWidth="1"/>
    <col min="9757" max="9757" width="2.125" style="1" customWidth="1"/>
    <col min="9758" max="9758" width="5.625" style="1" customWidth="1"/>
    <col min="9759" max="9759" width="2.125" style="1" customWidth="1"/>
    <col min="9760" max="9760" width="5.625" style="1" customWidth="1"/>
    <col min="9761" max="9761" width="3.25" style="1" customWidth="1"/>
    <col min="9762" max="9764" width="3.625" style="1" customWidth="1"/>
    <col min="9765" max="9767" width="6.625" style="1" customWidth="1"/>
    <col min="9768" max="9776" width="5.625" style="1" customWidth="1"/>
    <col min="9777" max="9777" width="1.625" style="1" customWidth="1"/>
    <col min="9778" max="9778" width="4.625" style="1" customWidth="1"/>
    <col min="9779" max="9786" width="5.625" style="1" customWidth="1"/>
    <col min="9787" max="9787" width="4.125" style="1" customWidth="1"/>
    <col min="9788" max="9792" width="3.625" style="1" customWidth="1"/>
    <col min="9793" max="9793" width="2.125" style="1" customWidth="1"/>
    <col min="9794" max="9794" width="5" style="1" customWidth="1"/>
    <col min="9795" max="9795" width="6" style="1" customWidth="1"/>
    <col min="9796" max="9796" width="2.125" style="1" customWidth="1"/>
    <col min="9797" max="9797" width="5.625" style="1" customWidth="1"/>
    <col min="9798" max="9798" width="2.125" style="1" customWidth="1"/>
    <col min="9799" max="9799" width="5.625" style="1" customWidth="1"/>
    <col min="9800" max="9800" width="3.25" style="1" customWidth="1"/>
    <col min="9801" max="9803" width="3.625" style="1" customWidth="1"/>
    <col min="9804" max="9806" width="6.625" style="1" customWidth="1"/>
    <col min="9807" max="9984" width="9" style="1"/>
    <col min="9985" max="9993" width="5.625" style="1" customWidth="1"/>
    <col min="9994" max="9994" width="1.625" style="1" customWidth="1"/>
    <col min="9995" max="9995" width="4.625" style="1" customWidth="1"/>
    <col min="9996" max="10003" width="5.625" style="1" customWidth="1"/>
    <col min="10004" max="10004" width="4.125" style="1" customWidth="1"/>
    <col min="10005" max="10009" width="3.625" style="1" customWidth="1"/>
    <col min="10010" max="10010" width="2.125" style="1" customWidth="1"/>
    <col min="10011" max="10011" width="5" style="1" customWidth="1"/>
    <col min="10012" max="10012" width="6" style="1" customWidth="1"/>
    <col min="10013" max="10013" width="2.125" style="1" customWidth="1"/>
    <col min="10014" max="10014" width="5.625" style="1" customWidth="1"/>
    <col min="10015" max="10015" width="2.125" style="1" customWidth="1"/>
    <col min="10016" max="10016" width="5.625" style="1" customWidth="1"/>
    <col min="10017" max="10017" width="3.25" style="1" customWidth="1"/>
    <col min="10018" max="10020" width="3.625" style="1" customWidth="1"/>
    <col min="10021" max="10023" width="6.625" style="1" customWidth="1"/>
    <col min="10024" max="10032" width="5.625" style="1" customWidth="1"/>
    <col min="10033" max="10033" width="1.625" style="1" customWidth="1"/>
    <col min="10034" max="10034" width="4.625" style="1" customWidth="1"/>
    <col min="10035" max="10042" width="5.625" style="1" customWidth="1"/>
    <col min="10043" max="10043" width="4.125" style="1" customWidth="1"/>
    <col min="10044" max="10048" width="3.625" style="1" customWidth="1"/>
    <col min="10049" max="10049" width="2.125" style="1" customWidth="1"/>
    <col min="10050" max="10050" width="5" style="1" customWidth="1"/>
    <col min="10051" max="10051" width="6" style="1" customWidth="1"/>
    <col min="10052" max="10052" width="2.125" style="1" customWidth="1"/>
    <col min="10053" max="10053" width="5.625" style="1" customWidth="1"/>
    <col min="10054" max="10054" width="2.125" style="1" customWidth="1"/>
    <col min="10055" max="10055" width="5.625" style="1" customWidth="1"/>
    <col min="10056" max="10056" width="3.25" style="1" customWidth="1"/>
    <col min="10057" max="10059" width="3.625" style="1" customWidth="1"/>
    <col min="10060" max="10062" width="6.625" style="1" customWidth="1"/>
    <col min="10063" max="10240" width="9" style="1"/>
    <col min="10241" max="10249" width="5.625" style="1" customWidth="1"/>
    <col min="10250" max="10250" width="1.625" style="1" customWidth="1"/>
    <col min="10251" max="10251" width="4.625" style="1" customWidth="1"/>
    <col min="10252" max="10259" width="5.625" style="1" customWidth="1"/>
    <col min="10260" max="10260" width="4.125" style="1" customWidth="1"/>
    <col min="10261" max="10265" width="3.625" style="1" customWidth="1"/>
    <col min="10266" max="10266" width="2.125" style="1" customWidth="1"/>
    <col min="10267" max="10267" width="5" style="1" customWidth="1"/>
    <col min="10268" max="10268" width="6" style="1" customWidth="1"/>
    <col min="10269" max="10269" width="2.125" style="1" customWidth="1"/>
    <col min="10270" max="10270" width="5.625" style="1" customWidth="1"/>
    <col min="10271" max="10271" width="2.125" style="1" customWidth="1"/>
    <col min="10272" max="10272" width="5.625" style="1" customWidth="1"/>
    <col min="10273" max="10273" width="3.25" style="1" customWidth="1"/>
    <col min="10274" max="10276" width="3.625" style="1" customWidth="1"/>
    <col min="10277" max="10279" width="6.625" style="1" customWidth="1"/>
    <col min="10280" max="10288" width="5.625" style="1" customWidth="1"/>
    <col min="10289" max="10289" width="1.625" style="1" customWidth="1"/>
    <col min="10290" max="10290" width="4.625" style="1" customWidth="1"/>
    <col min="10291" max="10298" width="5.625" style="1" customWidth="1"/>
    <col min="10299" max="10299" width="4.125" style="1" customWidth="1"/>
    <col min="10300" max="10304" width="3.625" style="1" customWidth="1"/>
    <col min="10305" max="10305" width="2.125" style="1" customWidth="1"/>
    <col min="10306" max="10306" width="5" style="1" customWidth="1"/>
    <col min="10307" max="10307" width="6" style="1" customWidth="1"/>
    <col min="10308" max="10308" width="2.125" style="1" customWidth="1"/>
    <col min="10309" max="10309" width="5.625" style="1" customWidth="1"/>
    <col min="10310" max="10310" width="2.125" style="1" customWidth="1"/>
    <col min="10311" max="10311" width="5.625" style="1" customWidth="1"/>
    <col min="10312" max="10312" width="3.25" style="1" customWidth="1"/>
    <col min="10313" max="10315" width="3.625" style="1" customWidth="1"/>
    <col min="10316" max="10318" width="6.625" style="1" customWidth="1"/>
    <col min="10319" max="10496" width="9" style="1"/>
    <col min="10497" max="10505" width="5.625" style="1" customWidth="1"/>
    <col min="10506" max="10506" width="1.625" style="1" customWidth="1"/>
    <col min="10507" max="10507" width="4.625" style="1" customWidth="1"/>
    <col min="10508" max="10515" width="5.625" style="1" customWidth="1"/>
    <col min="10516" max="10516" width="4.125" style="1" customWidth="1"/>
    <col min="10517" max="10521" width="3.625" style="1" customWidth="1"/>
    <col min="10522" max="10522" width="2.125" style="1" customWidth="1"/>
    <col min="10523" max="10523" width="5" style="1" customWidth="1"/>
    <col min="10524" max="10524" width="6" style="1" customWidth="1"/>
    <col min="10525" max="10525" width="2.125" style="1" customWidth="1"/>
    <col min="10526" max="10526" width="5.625" style="1" customWidth="1"/>
    <col min="10527" max="10527" width="2.125" style="1" customWidth="1"/>
    <col min="10528" max="10528" width="5.625" style="1" customWidth="1"/>
    <col min="10529" max="10529" width="3.25" style="1" customWidth="1"/>
    <col min="10530" max="10532" width="3.625" style="1" customWidth="1"/>
    <col min="10533" max="10535" width="6.625" style="1" customWidth="1"/>
    <col min="10536" max="10544" width="5.625" style="1" customWidth="1"/>
    <col min="10545" max="10545" width="1.625" style="1" customWidth="1"/>
    <col min="10546" max="10546" width="4.625" style="1" customWidth="1"/>
    <col min="10547" max="10554" width="5.625" style="1" customWidth="1"/>
    <col min="10555" max="10555" width="4.125" style="1" customWidth="1"/>
    <col min="10556" max="10560" width="3.625" style="1" customWidth="1"/>
    <col min="10561" max="10561" width="2.125" style="1" customWidth="1"/>
    <col min="10562" max="10562" width="5" style="1" customWidth="1"/>
    <col min="10563" max="10563" width="6" style="1" customWidth="1"/>
    <col min="10564" max="10564" width="2.125" style="1" customWidth="1"/>
    <col min="10565" max="10565" width="5.625" style="1" customWidth="1"/>
    <col min="10566" max="10566" width="2.125" style="1" customWidth="1"/>
    <col min="10567" max="10567" width="5.625" style="1" customWidth="1"/>
    <col min="10568" max="10568" width="3.25" style="1" customWidth="1"/>
    <col min="10569" max="10571" width="3.625" style="1" customWidth="1"/>
    <col min="10572" max="10574" width="6.625" style="1" customWidth="1"/>
    <col min="10575" max="10752" width="9" style="1"/>
    <col min="10753" max="10761" width="5.625" style="1" customWidth="1"/>
    <col min="10762" max="10762" width="1.625" style="1" customWidth="1"/>
    <col min="10763" max="10763" width="4.625" style="1" customWidth="1"/>
    <col min="10764" max="10771" width="5.625" style="1" customWidth="1"/>
    <col min="10772" max="10772" width="4.125" style="1" customWidth="1"/>
    <col min="10773" max="10777" width="3.625" style="1" customWidth="1"/>
    <col min="10778" max="10778" width="2.125" style="1" customWidth="1"/>
    <col min="10779" max="10779" width="5" style="1" customWidth="1"/>
    <col min="10780" max="10780" width="6" style="1" customWidth="1"/>
    <col min="10781" max="10781" width="2.125" style="1" customWidth="1"/>
    <col min="10782" max="10782" width="5.625" style="1" customWidth="1"/>
    <col min="10783" max="10783" width="2.125" style="1" customWidth="1"/>
    <col min="10784" max="10784" width="5.625" style="1" customWidth="1"/>
    <col min="10785" max="10785" width="3.25" style="1" customWidth="1"/>
    <col min="10786" max="10788" width="3.625" style="1" customWidth="1"/>
    <col min="10789" max="10791" width="6.625" style="1" customWidth="1"/>
    <col min="10792" max="10800" width="5.625" style="1" customWidth="1"/>
    <col min="10801" max="10801" width="1.625" style="1" customWidth="1"/>
    <col min="10802" max="10802" width="4.625" style="1" customWidth="1"/>
    <col min="10803" max="10810" width="5.625" style="1" customWidth="1"/>
    <col min="10811" max="10811" width="4.125" style="1" customWidth="1"/>
    <col min="10812" max="10816" width="3.625" style="1" customWidth="1"/>
    <col min="10817" max="10817" width="2.125" style="1" customWidth="1"/>
    <col min="10818" max="10818" width="5" style="1" customWidth="1"/>
    <col min="10819" max="10819" width="6" style="1" customWidth="1"/>
    <col min="10820" max="10820" width="2.125" style="1" customWidth="1"/>
    <col min="10821" max="10821" width="5.625" style="1" customWidth="1"/>
    <col min="10822" max="10822" width="2.125" style="1" customWidth="1"/>
    <col min="10823" max="10823" width="5.625" style="1" customWidth="1"/>
    <col min="10824" max="10824" width="3.25" style="1" customWidth="1"/>
    <col min="10825" max="10827" width="3.625" style="1" customWidth="1"/>
    <col min="10828" max="10830" width="6.625" style="1" customWidth="1"/>
    <col min="10831" max="11008" width="9" style="1"/>
    <col min="11009" max="11017" width="5.625" style="1" customWidth="1"/>
    <col min="11018" max="11018" width="1.625" style="1" customWidth="1"/>
    <col min="11019" max="11019" width="4.625" style="1" customWidth="1"/>
    <col min="11020" max="11027" width="5.625" style="1" customWidth="1"/>
    <col min="11028" max="11028" width="4.125" style="1" customWidth="1"/>
    <col min="11029" max="11033" width="3.625" style="1" customWidth="1"/>
    <col min="11034" max="11034" width="2.125" style="1" customWidth="1"/>
    <col min="11035" max="11035" width="5" style="1" customWidth="1"/>
    <col min="11036" max="11036" width="6" style="1" customWidth="1"/>
    <col min="11037" max="11037" width="2.125" style="1" customWidth="1"/>
    <col min="11038" max="11038" width="5.625" style="1" customWidth="1"/>
    <col min="11039" max="11039" width="2.125" style="1" customWidth="1"/>
    <col min="11040" max="11040" width="5.625" style="1" customWidth="1"/>
    <col min="11041" max="11041" width="3.25" style="1" customWidth="1"/>
    <col min="11042" max="11044" width="3.625" style="1" customWidth="1"/>
    <col min="11045" max="11047" width="6.625" style="1" customWidth="1"/>
    <col min="11048" max="11056" width="5.625" style="1" customWidth="1"/>
    <col min="11057" max="11057" width="1.625" style="1" customWidth="1"/>
    <col min="11058" max="11058" width="4.625" style="1" customWidth="1"/>
    <col min="11059" max="11066" width="5.625" style="1" customWidth="1"/>
    <col min="11067" max="11067" width="4.125" style="1" customWidth="1"/>
    <col min="11068" max="11072" width="3.625" style="1" customWidth="1"/>
    <col min="11073" max="11073" width="2.125" style="1" customWidth="1"/>
    <col min="11074" max="11074" width="5" style="1" customWidth="1"/>
    <col min="11075" max="11075" width="6" style="1" customWidth="1"/>
    <col min="11076" max="11076" width="2.125" style="1" customWidth="1"/>
    <col min="11077" max="11077" width="5.625" style="1" customWidth="1"/>
    <col min="11078" max="11078" width="2.125" style="1" customWidth="1"/>
    <col min="11079" max="11079" width="5.625" style="1" customWidth="1"/>
    <col min="11080" max="11080" width="3.25" style="1" customWidth="1"/>
    <col min="11081" max="11083" width="3.625" style="1" customWidth="1"/>
    <col min="11084" max="11086" width="6.625" style="1" customWidth="1"/>
    <col min="11087" max="11264" width="9" style="1"/>
    <col min="11265" max="11273" width="5.625" style="1" customWidth="1"/>
    <col min="11274" max="11274" width="1.625" style="1" customWidth="1"/>
    <col min="11275" max="11275" width="4.625" style="1" customWidth="1"/>
    <col min="11276" max="11283" width="5.625" style="1" customWidth="1"/>
    <col min="11284" max="11284" width="4.125" style="1" customWidth="1"/>
    <col min="11285" max="11289" width="3.625" style="1" customWidth="1"/>
    <col min="11290" max="11290" width="2.125" style="1" customWidth="1"/>
    <col min="11291" max="11291" width="5" style="1" customWidth="1"/>
    <col min="11292" max="11292" width="6" style="1" customWidth="1"/>
    <col min="11293" max="11293" width="2.125" style="1" customWidth="1"/>
    <col min="11294" max="11294" width="5.625" style="1" customWidth="1"/>
    <col min="11295" max="11295" width="2.125" style="1" customWidth="1"/>
    <col min="11296" max="11296" width="5.625" style="1" customWidth="1"/>
    <col min="11297" max="11297" width="3.25" style="1" customWidth="1"/>
    <col min="11298" max="11300" width="3.625" style="1" customWidth="1"/>
    <col min="11301" max="11303" width="6.625" style="1" customWidth="1"/>
    <col min="11304" max="11312" width="5.625" style="1" customWidth="1"/>
    <col min="11313" max="11313" width="1.625" style="1" customWidth="1"/>
    <col min="11314" max="11314" width="4.625" style="1" customWidth="1"/>
    <col min="11315" max="11322" width="5.625" style="1" customWidth="1"/>
    <col min="11323" max="11323" width="4.125" style="1" customWidth="1"/>
    <col min="11324" max="11328" width="3.625" style="1" customWidth="1"/>
    <col min="11329" max="11329" width="2.125" style="1" customWidth="1"/>
    <col min="11330" max="11330" width="5" style="1" customWidth="1"/>
    <col min="11331" max="11331" width="6" style="1" customWidth="1"/>
    <col min="11332" max="11332" width="2.125" style="1" customWidth="1"/>
    <col min="11333" max="11333" width="5.625" style="1" customWidth="1"/>
    <col min="11334" max="11334" width="2.125" style="1" customWidth="1"/>
    <col min="11335" max="11335" width="5.625" style="1" customWidth="1"/>
    <col min="11336" max="11336" width="3.25" style="1" customWidth="1"/>
    <col min="11337" max="11339" width="3.625" style="1" customWidth="1"/>
    <col min="11340" max="11342" width="6.625" style="1" customWidth="1"/>
    <col min="11343" max="11520" width="9" style="1"/>
    <col min="11521" max="11529" width="5.625" style="1" customWidth="1"/>
    <col min="11530" max="11530" width="1.625" style="1" customWidth="1"/>
    <col min="11531" max="11531" width="4.625" style="1" customWidth="1"/>
    <col min="11532" max="11539" width="5.625" style="1" customWidth="1"/>
    <col min="11540" max="11540" width="4.125" style="1" customWidth="1"/>
    <col min="11541" max="11545" width="3.625" style="1" customWidth="1"/>
    <col min="11546" max="11546" width="2.125" style="1" customWidth="1"/>
    <col min="11547" max="11547" width="5" style="1" customWidth="1"/>
    <col min="11548" max="11548" width="6" style="1" customWidth="1"/>
    <col min="11549" max="11549" width="2.125" style="1" customWidth="1"/>
    <col min="11550" max="11550" width="5.625" style="1" customWidth="1"/>
    <col min="11551" max="11551" width="2.125" style="1" customWidth="1"/>
    <col min="11552" max="11552" width="5.625" style="1" customWidth="1"/>
    <col min="11553" max="11553" width="3.25" style="1" customWidth="1"/>
    <col min="11554" max="11556" width="3.625" style="1" customWidth="1"/>
    <col min="11557" max="11559" width="6.625" style="1" customWidth="1"/>
    <col min="11560" max="11568" width="5.625" style="1" customWidth="1"/>
    <col min="11569" max="11569" width="1.625" style="1" customWidth="1"/>
    <col min="11570" max="11570" width="4.625" style="1" customWidth="1"/>
    <col min="11571" max="11578" width="5.625" style="1" customWidth="1"/>
    <col min="11579" max="11579" width="4.125" style="1" customWidth="1"/>
    <col min="11580" max="11584" width="3.625" style="1" customWidth="1"/>
    <col min="11585" max="11585" width="2.125" style="1" customWidth="1"/>
    <col min="11586" max="11586" width="5" style="1" customWidth="1"/>
    <col min="11587" max="11587" width="6" style="1" customWidth="1"/>
    <col min="11588" max="11588" width="2.125" style="1" customWidth="1"/>
    <col min="11589" max="11589" width="5.625" style="1" customWidth="1"/>
    <col min="11590" max="11590" width="2.125" style="1" customWidth="1"/>
    <col min="11591" max="11591" width="5.625" style="1" customWidth="1"/>
    <col min="11592" max="11592" width="3.25" style="1" customWidth="1"/>
    <col min="11593" max="11595" width="3.625" style="1" customWidth="1"/>
    <col min="11596" max="11598" width="6.625" style="1" customWidth="1"/>
    <col min="11599" max="11776" width="9" style="1"/>
    <col min="11777" max="11785" width="5.625" style="1" customWidth="1"/>
    <col min="11786" max="11786" width="1.625" style="1" customWidth="1"/>
    <col min="11787" max="11787" width="4.625" style="1" customWidth="1"/>
    <col min="11788" max="11795" width="5.625" style="1" customWidth="1"/>
    <col min="11796" max="11796" width="4.125" style="1" customWidth="1"/>
    <col min="11797" max="11801" width="3.625" style="1" customWidth="1"/>
    <col min="11802" max="11802" width="2.125" style="1" customWidth="1"/>
    <col min="11803" max="11803" width="5" style="1" customWidth="1"/>
    <col min="11804" max="11804" width="6" style="1" customWidth="1"/>
    <col min="11805" max="11805" width="2.125" style="1" customWidth="1"/>
    <col min="11806" max="11806" width="5.625" style="1" customWidth="1"/>
    <col min="11807" max="11807" width="2.125" style="1" customWidth="1"/>
    <col min="11808" max="11808" width="5.625" style="1" customWidth="1"/>
    <col min="11809" max="11809" width="3.25" style="1" customWidth="1"/>
    <col min="11810" max="11812" width="3.625" style="1" customWidth="1"/>
    <col min="11813" max="11815" width="6.625" style="1" customWidth="1"/>
    <col min="11816" max="11824" width="5.625" style="1" customWidth="1"/>
    <col min="11825" max="11825" width="1.625" style="1" customWidth="1"/>
    <col min="11826" max="11826" width="4.625" style="1" customWidth="1"/>
    <col min="11827" max="11834" width="5.625" style="1" customWidth="1"/>
    <col min="11835" max="11835" width="4.125" style="1" customWidth="1"/>
    <col min="11836" max="11840" width="3.625" style="1" customWidth="1"/>
    <col min="11841" max="11841" width="2.125" style="1" customWidth="1"/>
    <col min="11842" max="11842" width="5" style="1" customWidth="1"/>
    <col min="11843" max="11843" width="6" style="1" customWidth="1"/>
    <col min="11844" max="11844" width="2.125" style="1" customWidth="1"/>
    <col min="11845" max="11845" width="5.625" style="1" customWidth="1"/>
    <col min="11846" max="11846" width="2.125" style="1" customWidth="1"/>
    <col min="11847" max="11847" width="5.625" style="1" customWidth="1"/>
    <col min="11848" max="11848" width="3.25" style="1" customWidth="1"/>
    <col min="11849" max="11851" width="3.625" style="1" customWidth="1"/>
    <col min="11852" max="11854" width="6.625" style="1" customWidth="1"/>
    <col min="11855" max="12032" width="9" style="1"/>
    <col min="12033" max="12041" width="5.625" style="1" customWidth="1"/>
    <col min="12042" max="12042" width="1.625" style="1" customWidth="1"/>
    <col min="12043" max="12043" width="4.625" style="1" customWidth="1"/>
    <col min="12044" max="12051" width="5.625" style="1" customWidth="1"/>
    <col min="12052" max="12052" width="4.125" style="1" customWidth="1"/>
    <col min="12053" max="12057" width="3.625" style="1" customWidth="1"/>
    <col min="12058" max="12058" width="2.125" style="1" customWidth="1"/>
    <col min="12059" max="12059" width="5" style="1" customWidth="1"/>
    <col min="12060" max="12060" width="6" style="1" customWidth="1"/>
    <col min="12061" max="12061" width="2.125" style="1" customWidth="1"/>
    <col min="12062" max="12062" width="5.625" style="1" customWidth="1"/>
    <col min="12063" max="12063" width="2.125" style="1" customWidth="1"/>
    <col min="12064" max="12064" width="5.625" style="1" customWidth="1"/>
    <col min="12065" max="12065" width="3.25" style="1" customWidth="1"/>
    <col min="12066" max="12068" width="3.625" style="1" customWidth="1"/>
    <col min="12069" max="12071" width="6.625" style="1" customWidth="1"/>
    <col min="12072" max="12080" width="5.625" style="1" customWidth="1"/>
    <col min="12081" max="12081" width="1.625" style="1" customWidth="1"/>
    <col min="12082" max="12082" width="4.625" style="1" customWidth="1"/>
    <col min="12083" max="12090" width="5.625" style="1" customWidth="1"/>
    <col min="12091" max="12091" width="4.125" style="1" customWidth="1"/>
    <col min="12092" max="12096" width="3.625" style="1" customWidth="1"/>
    <col min="12097" max="12097" width="2.125" style="1" customWidth="1"/>
    <col min="12098" max="12098" width="5" style="1" customWidth="1"/>
    <col min="12099" max="12099" width="6" style="1" customWidth="1"/>
    <col min="12100" max="12100" width="2.125" style="1" customWidth="1"/>
    <col min="12101" max="12101" width="5.625" style="1" customWidth="1"/>
    <col min="12102" max="12102" width="2.125" style="1" customWidth="1"/>
    <col min="12103" max="12103" width="5.625" style="1" customWidth="1"/>
    <col min="12104" max="12104" width="3.25" style="1" customWidth="1"/>
    <col min="12105" max="12107" width="3.625" style="1" customWidth="1"/>
    <col min="12108" max="12110" width="6.625" style="1" customWidth="1"/>
    <col min="12111" max="12288" width="9" style="1"/>
    <col min="12289" max="12297" width="5.625" style="1" customWidth="1"/>
    <col min="12298" max="12298" width="1.625" style="1" customWidth="1"/>
    <col min="12299" max="12299" width="4.625" style="1" customWidth="1"/>
    <col min="12300" max="12307" width="5.625" style="1" customWidth="1"/>
    <col min="12308" max="12308" width="4.125" style="1" customWidth="1"/>
    <col min="12309" max="12313" width="3.625" style="1" customWidth="1"/>
    <col min="12314" max="12314" width="2.125" style="1" customWidth="1"/>
    <col min="12315" max="12315" width="5" style="1" customWidth="1"/>
    <col min="12316" max="12316" width="6" style="1" customWidth="1"/>
    <col min="12317" max="12317" width="2.125" style="1" customWidth="1"/>
    <col min="12318" max="12318" width="5.625" style="1" customWidth="1"/>
    <col min="12319" max="12319" width="2.125" style="1" customWidth="1"/>
    <col min="12320" max="12320" width="5.625" style="1" customWidth="1"/>
    <col min="12321" max="12321" width="3.25" style="1" customWidth="1"/>
    <col min="12322" max="12324" width="3.625" style="1" customWidth="1"/>
    <col min="12325" max="12327" width="6.625" style="1" customWidth="1"/>
    <col min="12328" max="12336" width="5.625" style="1" customWidth="1"/>
    <col min="12337" max="12337" width="1.625" style="1" customWidth="1"/>
    <col min="12338" max="12338" width="4.625" style="1" customWidth="1"/>
    <col min="12339" max="12346" width="5.625" style="1" customWidth="1"/>
    <col min="12347" max="12347" width="4.125" style="1" customWidth="1"/>
    <col min="12348" max="12352" width="3.625" style="1" customWidth="1"/>
    <col min="12353" max="12353" width="2.125" style="1" customWidth="1"/>
    <col min="12354" max="12354" width="5" style="1" customWidth="1"/>
    <col min="12355" max="12355" width="6" style="1" customWidth="1"/>
    <col min="12356" max="12356" width="2.125" style="1" customWidth="1"/>
    <col min="12357" max="12357" width="5.625" style="1" customWidth="1"/>
    <col min="12358" max="12358" width="2.125" style="1" customWidth="1"/>
    <col min="12359" max="12359" width="5.625" style="1" customWidth="1"/>
    <col min="12360" max="12360" width="3.25" style="1" customWidth="1"/>
    <col min="12361" max="12363" width="3.625" style="1" customWidth="1"/>
    <col min="12364" max="12366" width="6.625" style="1" customWidth="1"/>
    <col min="12367" max="12544" width="9" style="1"/>
    <col min="12545" max="12553" width="5.625" style="1" customWidth="1"/>
    <col min="12554" max="12554" width="1.625" style="1" customWidth="1"/>
    <col min="12555" max="12555" width="4.625" style="1" customWidth="1"/>
    <col min="12556" max="12563" width="5.625" style="1" customWidth="1"/>
    <col min="12564" max="12564" width="4.125" style="1" customWidth="1"/>
    <col min="12565" max="12569" width="3.625" style="1" customWidth="1"/>
    <col min="12570" max="12570" width="2.125" style="1" customWidth="1"/>
    <col min="12571" max="12571" width="5" style="1" customWidth="1"/>
    <col min="12572" max="12572" width="6" style="1" customWidth="1"/>
    <col min="12573" max="12573" width="2.125" style="1" customWidth="1"/>
    <col min="12574" max="12574" width="5.625" style="1" customWidth="1"/>
    <col min="12575" max="12575" width="2.125" style="1" customWidth="1"/>
    <col min="12576" max="12576" width="5.625" style="1" customWidth="1"/>
    <col min="12577" max="12577" width="3.25" style="1" customWidth="1"/>
    <col min="12578" max="12580" width="3.625" style="1" customWidth="1"/>
    <col min="12581" max="12583" width="6.625" style="1" customWidth="1"/>
    <col min="12584" max="12592" width="5.625" style="1" customWidth="1"/>
    <col min="12593" max="12593" width="1.625" style="1" customWidth="1"/>
    <col min="12594" max="12594" width="4.625" style="1" customWidth="1"/>
    <col min="12595" max="12602" width="5.625" style="1" customWidth="1"/>
    <col min="12603" max="12603" width="4.125" style="1" customWidth="1"/>
    <col min="12604" max="12608" width="3.625" style="1" customWidth="1"/>
    <col min="12609" max="12609" width="2.125" style="1" customWidth="1"/>
    <col min="12610" max="12610" width="5" style="1" customWidth="1"/>
    <col min="12611" max="12611" width="6" style="1" customWidth="1"/>
    <col min="12612" max="12612" width="2.125" style="1" customWidth="1"/>
    <col min="12613" max="12613" width="5.625" style="1" customWidth="1"/>
    <col min="12614" max="12614" width="2.125" style="1" customWidth="1"/>
    <col min="12615" max="12615" width="5.625" style="1" customWidth="1"/>
    <col min="12616" max="12616" width="3.25" style="1" customWidth="1"/>
    <col min="12617" max="12619" width="3.625" style="1" customWidth="1"/>
    <col min="12620" max="12622" width="6.625" style="1" customWidth="1"/>
    <col min="12623" max="12800" width="9" style="1"/>
    <col min="12801" max="12809" width="5.625" style="1" customWidth="1"/>
    <col min="12810" max="12810" width="1.625" style="1" customWidth="1"/>
    <col min="12811" max="12811" width="4.625" style="1" customWidth="1"/>
    <col min="12812" max="12819" width="5.625" style="1" customWidth="1"/>
    <col min="12820" max="12820" width="4.125" style="1" customWidth="1"/>
    <col min="12821" max="12825" width="3.625" style="1" customWidth="1"/>
    <col min="12826" max="12826" width="2.125" style="1" customWidth="1"/>
    <col min="12827" max="12827" width="5" style="1" customWidth="1"/>
    <col min="12828" max="12828" width="6" style="1" customWidth="1"/>
    <col min="12829" max="12829" width="2.125" style="1" customWidth="1"/>
    <col min="12830" max="12830" width="5.625" style="1" customWidth="1"/>
    <col min="12831" max="12831" width="2.125" style="1" customWidth="1"/>
    <col min="12832" max="12832" width="5.625" style="1" customWidth="1"/>
    <col min="12833" max="12833" width="3.25" style="1" customWidth="1"/>
    <col min="12834" max="12836" width="3.625" style="1" customWidth="1"/>
    <col min="12837" max="12839" width="6.625" style="1" customWidth="1"/>
    <col min="12840" max="12848" width="5.625" style="1" customWidth="1"/>
    <col min="12849" max="12849" width="1.625" style="1" customWidth="1"/>
    <col min="12850" max="12850" width="4.625" style="1" customWidth="1"/>
    <col min="12851" max="12858" width="5.625" style="1" customWidth="1"/>
    <col min="12859" max="12859" width="4.125" style="1" customWidth="1"/>
    <col min="12860" max="12864" width="3.625" style="1" customWidth="1"/>
    <col min="12865" max="12865" width="2.125" style="1" customWidth="1"/>
    <col min="12866" max="12866" width="5" style="1" customWidth="1"/>
    <col min="12867" max="12867" width="6" style="1" customWidth="1"/>
    <col min="12868" max="12868" width="2.125" style="1" customWidth="1"/>
    <col min="12869" max="12869" width="5.625" style="1" customWidth="1"/>
    <col min="12870" max="12870" width="2.125" style="1" customWidth="1"/>
    <col min="12871" max="12871" width="5.625" style="1" customWidth="1"/>
    <col min="12872" max="12872" width="3.25" style="1" customWidth="1"/>
    <col min="12873" max="12875" width="3.625" style="1" customWidth="1"/>
    <col min="12876" max="12878" width="6.625" style="1" customWidth="1"/>
    <col min="12879" max="13056" width="9" style="1"/>
    <col min="13057" max="13065" width="5.625" style="1" customWidth="1"/>
    <col min="13066" max="13066" width="1.625" style="1" customWidth="1"/>
    <col min="13067" max="13067" width="4.625" style="1" customWidth="1"/>
    <col min="13068" max="13075" width="5.625" style="1" customWidth="1"/>
    <col min="13076" max="13076" width="4.125" style="1" customWidth="1"/>
    <col min="13077" max="13081" width="3.625" style="1" customWidth="1"/>
    <col min="13082" max="13082" width="2.125" style="1" customWidth="1"/>
    <col min="13083" max="13083" width="5" style="1" customWidth="1"/>
    <col min="13084" max="13084" width="6" style="1" customWidth="1"/>
    <col min="13085" max="13085" width="2.125" style="1" customWidth="1"/>
    <col min="13086" max="13086" width="5.625" style="1" customWidth="1"/>
    <col min="13087" max="13087" width="2.125" style="1" customWidth="1"/>
    <col min="13088" max="13088" width="5.625" style="1" customWidth="1"/>
    <col min="13089" max="13089" width="3.25" style="1" customWidth="1"/>
    <col min="13090" max="13092" width="3.625" style="1" customWidth="1"/>
    <col min="13093" max="13095" width="6.625" style="1" customWidth="1"/>
    <col min="13096" max="13104" width="5.625" style="1" customWidth="1"/>
    <col min="13105" max="13105" width="1.625" style="1" customWidth="1"/>
    <col min="13106" max="13106" width="4.625" style="1" customWidth="1"/>
    <col min="13107" max="13114" width="5.625" style="1" customWidth="1"/>
    <col min="13115" max="13115" width="4.125" style="1" customWidth="1"/>
    <col min="13116" max="13120" width="3.625" style="1" customWidth="1"/>
    <col min="13121" max="13121" width="2.125" style="1" customWidth="1"/>
    <col min="13122" max="13122" width="5" style="1" customWidth="1"/>
    <col min="13123" max="13123" width="6" style="1" customWidth="1"/>
    <col min="13124" max="13124" width="2.125" style="1" customWidth="1"/>
    <col min="13125" max="13125" width="5.625" style="1" customWidth="1"/>
    <col min="13126" max="13126" width="2.125" style="1" customWidth="1"/>
    <col min="13127" max="13127" width="5.625" style="1" customWidth="1"/>
    <col min="13128" max="13128" width="3.25" style="1" customWidth="1"/>
    <col min="13129" max="13131" width="3.625" style="1" customWidth="1"/>
    <col min="13132" max="13134" width="6.625" style="1" customWidth="1"/>
    <col min="13135" max="13312" width="9" style="1"/>
    <col min="13313" max="13321" width="5.625" style="1" customWidth="1"/>
    <col min="13322" max="13322" width="1.625" style="1" customWidth="1"/>
    <col min="13323" max="13323" width="4.625" style="1" customWidth="1"/>
    <col min="13324" max="13331" width="5.625" style="1" customWidth="1"/>
    <col min="13332" max="13332" width="4.125" style="1" customWidth="1"/>
    <col min="13333" max="13337" width="3.625" style="1" customWidth="1"/>
    <col min="13338" max="13338" width="2.125" style="1" customWidth="1"/>
    <col min="13339" max="13339" width="5" style="1" customWidth="1"/>
    <col min="13340" max="13340" width="6" style="1" customWidth="1"/>
    <col min="13341" max="13341" width="2.125" style="1" customWidth="1"/>
    <col min="13342" max="13342" width="5.625" style="1" customWidth="1"/>
    <col min="13343" max="13343" width="2.125" style="1" customWidth="1"/>
    <col min="13344" max="13344" width="5.625" style="1" customWidth="1"/>
    <col min="13345" max="13345" width="3.25" style="1" customWidth="1"/>
    <col min="13346" max="13348" width="3.625" style="1" customWidth="1"/>
    <col min="13349" max="13351" width="6.625" style="1" customWidth="1"/>
    <col min="13352" max="13360" width="5.625" style="1" customWidth="1"/>
    <col min="13361" max="13361" width="1.625" style="1" customWidth="1"/>
    <col min="13362" max="13362" width="4.625" style="1" customWidth="1"/>
    <col min="13363" max="13370" width="5.625" style="1" customWidth="1"/>
    <col min="13371" max="13371" width="4.125" style="1" customWidth="1"/>
    <col min="13372" max="13376" width="3.625" style="1" customWidth="1"/>
    <col min="13377" max="13377" width="2.125" style="1" customWidth="1"/>
    <col min="13378" max="13378" width="5" style="1" customWidth="1"/>
    <col min="13379" max="13379" width="6" style="1" customWidth="1"/>
    <col min="13380" max="13380" width="2.125" style="1" customWidth="1"/>
    <col min="13381" max="13381" width="5.625" style="1" customWidth="1"/>
    <col min="13382" max="13382" width="2.125" style="1" customWidth="1"/>
    <col min="13383" max="13383" width="5.625" style="1" customWidth="1"/>
    <col min="13384" max="13384" width="3.25" style="1" customWidth="1"/>
    <col min="13385" max="13387" width="3.625" style="1" customWidth="1"/>
    <col min="13388" max="13390" width="6.625" style="1" customWidth="1"/>
    <col min="13391" max="13568" width="9" style="1"/>
    <col min="13569" max="13577" width="5.625" style="1" customWidth="1"/>
    <col min="13578" max="13578" width="1.625" style="1" customWidth="1"/>
    <col min="13579" max="13579" width="4.625" style="1" customWidth="1"/>
    <col min="13580" max="13587" width="5.625" style="1" customWidth="1"/>
    <col min="13588" max="13588" width="4.125" style="1" customWidth="1"/>
    <col min="13589" max="13593" width="3.625" style="1" customWidth="1"/>
    <col min="13594" max="13594" width="2.125" style="1" customWidth="1"/>
    <col min="13595" max="13595" width="5" style="1" customWidth="1"/>
    <col min="13596" max="13596" width="6" style="1" customWidth="1"/>
    <col min="13597" max="13597" width="2.125" style="1" customWidth="1"/>
    <col min="13598" max="13598" width="5.625" style="1" customWidth="1"/>
    <col min="13599" max="13599" width="2.125" style="1" customWidth="1"/>
    <col min="13600" max="13600" width="5.625" style="1" customWidth="1"/>
    <col min="13601" max="13601" width="3.25" style="1" customWidth="1"/>
    <col min="13602" max="13604" width="3.625" style="1" customWidth="1"/>
    <col min="13605" max="13607" width="6.625" style="1" customWidth="1"/>
    <col min="13608" max="13616" width="5.625" style="1" customWidth="1"/>
    <col min="13617" max="13617" width="1.625" style="1" customWidth="1"/>
    <col min="13618" max="13618" width="4.625" style="1" customWidth="1"/>
    <col min="13619" max="13626" width="5.625" style="1" customWidth="1"/>
    <col min="13627" max="13627" width="4.125" style="1" customWidth="1"/>
    <col min="13628" max="13632" width="3.625" style="1" customWidth="1"/>
    <col min="13633" max="13633" width="2.125" style="1" customWidth="1"/>
    <col min="13634" max="13634" width="5" style="1" customWidth="1"/>
    <col min="13635" max="13635" width="6" style="1" customWidth="1"/>
    <col min="13636" max="13636" width="2.125" style="1" customWidth="1"/>
    <col min="13637" max="13637" width="5.625" style="1" customWidth="1"/>
    <col min="13638" max="13638" width="2.125" style="1" customWidth="1"/>
    <col min="13639" max="13639" width="5.625" style="1" customWidth="1"/>
    <col min="13640" max="13640" width="3.25" style="1" customWidth="1"/>
    <col min="13641" max="13643" width="3.625" style="1" customWidth="1"/>
    <col min="13644" max="13646" width="6.625" style="1" customWidth="1"/>
    <col min="13647" max="13824" width="9" style="1"/>
    <col min="13825" max="13833" width="5.625" style="1" customWidth="1"/>
    <col min="13834" max="13834" width="1.625" style="1" customWidth="1"/>
    <col min="13835" max="13835" width="4.625" style="1" customWidth="1"/>
    <col min="13836" max="13843" width="5.625" style="1" customWidth="1"/>
    <col min="13844" max="13844" width="4.125" style="1" customWidth="1"/>
    <col min="13845" max="13849" width="3.625" style="1" customWidth="1"/>
    <col min="13850" max="13850" width="2.125" style="1" customWidth="1"/>
    <col min="13851" max="13851" width="5" style="1" customWidth="1"/>
    <col min="13852" max="13852" width="6" style="1" customWidth="1"/>
    <col min="13853" max="13853" width="2.125" style="1" customWidth="1"/>
    <col min="13854" max="13854" width="5.625" style="1" customWidth="1"/>
    <col min="13855" max="13855" width="2.125" style="1" customWidth="1"/>
    <col min="13856" max="13856" width="5.625" style="1" customWidth="1"/>
    <col min="13857" max="13857" width="3.25" style="1" customWidth="1"/>
    <col min="13858" max="13860" width="3.625" style="1" customWidth="1"/>
    <col min="13861" max="13863" width="6.625" style="1" customWidth="1"/>
    <col min="13864" max="13872" width="5.625" style="1" customWidth="1"/>
    <col min="13873" max="13873" width="1.625" style="1" customWidth="1"/>
    <col min="13874" max="13874" width="4.625" style="1" customWidth="1"/>
    <col min="13875" max="13882" width="5.625" style="1" customWidth="1"/>
    <col min="13883" max="13883" width="4.125" style="1" customWidth="1"/>
    <col min="13884" max="13888" width="3.625" style="1" customWidth="1"/>
    <col min="13889" max="13889" width="2.125" style="1" customWidth="1"/>
    <col min="13890" max="13890" width="5" style="1" customWidth="1"/>
    <col min="13891" max="13891" width="6" style="1" customWidth="1"/>
    <col min="13892" max="13892" width="2.125" style="1" customWidth="1"/>
    <col min="13893" max="13893" width="5.625" style="1" customWidth="1"/>
    <col min="13894" max="13894" width="2.125" style="1" customWidth="1"/>
    <col min="13895" max="13895" width="5.625" style="1" customWidth="1"/>
    <col min="13896" max="13896" width="3.25" style="1" customWidth="1"/>
    <col min="13897" max="13899" width="3.625" style="1" customWidth="1"/>
    <col min="13900" max="13902" width="6.625" style="1" customWidth="1"/>
    <col min="13903" max="14080" width="9" style="1"/>
    <col min="14081" max="14089" width="5.625" style="1" customWidth="1"/>
    <col min="14090" max="14090" width="1.625" style="1" customWidth="1"/>
    <col min="14091" max="14091" width="4.625" style="1" customWidth="1"/>
    <col min="14092" max="14099" width="5.625" style="1" customWidth="1"/>
    <col min="14100" max="14100" width="4.125" style="1" customWidth="1"/>
    <col min="14101" max="14105" width="3.625" style="1" customWidth="1"/>
    <col min="14106" max="14106" width="2.125" style="1" customWidth="1"/>
    <col min="14107" max="14107" width="5" style="1" customWidth="1"/>
    <col min="14108" max="14108" width="6" style="1" customWidth="1"/>
    <col min="14109" max="14109" width="2.125" style="1" customWidth="1"/>
    <col min="14110" max="14110" width="5.625" style="1" customWidth="1"/>
    <col min="14111" max="14111" width="2.125" style="1" customWidth="1"/>
    <col min="14112" max="14112" width="5.625" style="1" customWidth="1"/>
    <col min="14113" max="14113" width="3.25" style="1" customWidth="1"/>
    <col min="14114" max="14116" width="3.625" style="1" customWidth="1"/>
    <col min="14117" max="14119" width="6.625" style="1" customWidth="1"/>
    <col min="14120" max="14128" width="5.625" style="1" customWidth="1"/>
    <col min="14129" max="14129" width="1.625" style="1" customWidth="1"/>
    <col min="14130" max="14130" width="4.625" style="1" customWidth="1"/>
    <col min="14131" max="14138" width="5.625" style="1" customWidth="1"/>
    <col min="14139" max="14139" width="4.125" style="1" customWidth="1"/>
    <col min="14140" max="14144" width="3.625" style="1" customWidth="1"/>
    <col min="14145" max="14145" width="2.125" style="1" customWidth="1"/>
    <col min="14146" max="14146" width="5" style="1" customWidth="1"/>
    <col min="14147" max="14147" width="6" style="1" customWidth="1"/>
    <col min="14148" max="14148" width="2.125" style="1" customWidth="1"/>
    <col min="14149" max="14149" width="5.625" style="1" customWidth="1"/>
    <col min="14150" max="14150" width="2.125" style="1" customWidth="1"/>
    <col min="14151" max="14151" width="5.625" style="1" customWidth="1"/>
    <col min="14152" max="14152" width="3.25" style="1" customWidth="1"/>
    <col min="14153" max="14155" width="3.625" style="1" customWidth="1"/>
    <col min="14156" max="14158" width="6.625" style="1" customWidth="1"/>
    <col min="14159" max="14336" width="9" style="1"/>
    <col min="14337" max="14345" width="5.625" style="1" customWidth="1"/>
    <col min="14346" max="14346" width="1.625" style="1" customWidth="1"/>
    <col min="14347" max="14347" width="4.625" style="1" customWidth="1"/>
    <col min="14348" max="14355" width="5.625" style="1" customWidth="1"/>
    <col min="14356" max="14356" width="4.125" style="1" customWidth="1"/>
    <col min="14357" max="14361" width="3.625" style="1" customWidth="1"/>
    <col min="14362" max="14362" width="2.125" style="1" customWidth="1"/>
    <col min="14363" max="14363" width="5" style="1" customWidth="1"/>
    <col min="14364" max="14364" width="6" style="1" customWidth="1"/>
    <col min="14365" max="14365" width="2.125" style="1" customWidth="1"/>
    <col min="14366" max="14366" width="5.625" style="1" customWidth="1"/>
    <col min="14367" max="14367" width="2.125" style="1" customWidth="1"/>
    <col min="14368" max="14368" width="5.625" style="1" customWidth="1"/>
    <col min="14369" max="14369" width="3.25" style="1" customWidth="1"/>
    <col min="14370" max="14372" width="3.625" style="1" customWidth="1"/>
    <col min="14373" max="14375" width="6.625" style="1" customWidth="1"/>
    <col min="14376" max="14384" width="5.625" style="1" customWidth="1"/>
    <col min="14385" max="14385" width="1.625" style="1" customWidth="1"/>
    <col min="14386" max="14386" width="4.625" style="1" customWidth="1"/>
    <col min="14387" max="14394" width="5.625" style="1" customWidth="1"/>
    <col min="14395" max="14395" width="4.125" style="1" customWidth="1"/>
    <col min="14396" max="14400" width="3.625" style="1" customWidth="1"/>
    <col min="14401" max="14401" width="2.125" style="1" customWidth="1"/>
    <col min="14402" max="14402" width="5" style="1" customWidth="1"/>
    <col min="14403" max="14403" width="6" style="1" customWidth="1"/>
    <col min="14404" max="14404" width="2.125" style="1" customWidth="1"/>
    <col min="14405" max="14405" width="5.625" style="1" customWidth="1"/>
    <col min="14406" max="14406" width="2.125" style="1" customWidth="1"/>
    <col min="14407" max="14407" width="5.625" style="1" customWidth="1"/>
    <col min="14408" max="14408" width="3.25" style="1" customWidth="1"/>
    <col min="14409" max="14411" width="3.625" style="1" customWidth="1"/>
    <col min="14412" max="14414" width="6.625" style="1" customWidth="1"/>
    <col min="14415" max="14592" width="9" style="1"/>
    <col min="14593" max="14601" width="5.625" style="1" customWidth="1"/>
    <col min="14602" max="14602" width="1.625" style="1" customWidth="1"/>
    <col min="14603" max="14603" width="4.625" style="1" customWidth="1"/>
    <col min="14604" max="14611" width="5.625" style="1" customWidth="1"/>
    <col min="14612" max="14612" width="4.125" style="1" customWidth="1"/>
    <col min="14613" max="14617" width="3.625" style="1" customWidth="1"/>
    <col min="14618" max="14618" width="2.125" style="1" customWidth="1"/>
    <col min="14619" max="14619" width="5" style="1" customWidth="1"/>
    <col min="14620" max="14620" width="6" style="1" customWidth="1"/>
    <col min="14621" max="14621" width="2.125" style="1" customWidth="1"/>
    <col min="14622" max="14622" width="5.625" style="1" customWidth="1"/>
    <col min="14623" max="14623" width="2.125" style="1" customWidth="1"/>
    <col min="14624" max="14624" width="5.625" style="1" customWidth="1"/>
    <col min="14625" max="14625" width="3.25" style="1" customWidth="1"/>
    <col min="14626" max="14628" width="3.625" style="1" customWidth="1"/>
    <col min="14629" max="14631" width="6.625" style="1" customWidth="1"/>
    <col min="14632" max="14640" width="5.625" style="1" customWidth="1"/>
    <col min="14641" max="14641" width="1.625" style="1" customWidth="1"/>
    <col min="14642" max="14642" width="4.625" style="1" customWidth="1"/>
    <col min="14643" max="14650" width="5.625" style="1" customWidth="1"/>
    <col min="14651" max="14651" width="4.125" style="1" customWidth="1"/>
    <col min="14652" max="14656" width="3.625" style="1" customWidth="1"/>
    <col min="14657" max="14657" width="2.125" style="1" customWidth="1"/>
    <col min="14658" max="14658" width="5" style="1" customWidth="1"/>
    <col min="14659" max="14659" width="6" style="1" customWidth="1"/>
    <col min="14660" max="14660" width="2.125" style="1" customWidth="1"/>
    <col min="14661" max="14661" width="5.625" style="1" customWidth="1"/>
    <col min="14662" max="14662" width="2.125" style="1" customWidth="1"/>
    <col min="14663" max="14663" width="5.625" style="1" customWidth="1"/>
    <col min="14664" max="14664" width="3.25" style="1" customWidth="1"/>
    <col min="14665" max="14667" width="3.625" style="1" customWidth="1"/>
    <col min="14668" max="14670" width="6.625" style="1" customWidth="1"/>
    <col min="14671" max="14848" width="9" style="1"/>
    <col min="14849" max="14857" width="5.625" style="1" customWidth="1"/>
    <col min="14858" max="14858" width="1.625" style="1" customWidth="1"/>
    <col min="14859" max="14859" width="4.625" style="1" customWidth="1"/>
    <col min="14860" max="14867" width="5.625" style="1" customWidth="1"/>
    <col min="14868" max="14868" width="4.125" style="1" customWidth="1"/>
    <col min="14869" max="14873" width="3.625" style="1" customWidth="1"/>
    <col min="14874" max="14874" width="2.125" style="1" customWidth="1"/>
    <col min="14875" max="14875" width="5" style="1" customWidth="1"/>
    <col min="14876" max="14876" width="6" style="1" customWidth="1"/>
    <col min="14877" max="14877" width="2.125" style="1" customWidth="1"/>
    <col min="14878" max="14878" width="5.625" style="1" customWidth="1"/>
    <col min="14879" max="14879" width="2.125" style="1" customWidth="1"/>
    <col min="14880" max="14880" width="5.625" style="1" customWidth="1"/>
    <col min="14881" max="14881" width="3.25" style="1" customWidth="1"/>
    <col min="14882" max="14884" width="3.625" style="1" customWidth="1"/>
    <col min="14885" max="14887" width="6.625" style="1" customWidth="1"/>
    <col min="14888" max="14896" width="5.625" style="1" customWidth="1"/>
    <col min="14897" max="14897" width="1.625" style="1" customWidth="1"/>
    <col min="14898" max="14898" width="4.625" style="1" customWidth="1"/>
    <col min="14899" max="14906" width="5.625" style="1" customWidth="1"/>
    <col min="14907" max="14907" width="4.125" style="1" customWidth="1"/>
    <col min="14908" max="14912" width="3.625" style="1" customWidth="1"/>
    <col min="14913" max="14913" width="2.125" style="1" customWidth="1"/>
    <col min="14914" max="14914" width="5" style="1" customWidth="1"/>
    <col min="14915" max="14915" width="6" style="1" customWidth="1"/>
    <col min="14916" max="14916" width="2.125" style="1" customWidth="1"/>
    <col min="14917" max="14917" width="5.625" style="1" customWidth="1"/>
    <col min="14918" max="14918" width="2.125" style="1" customWidth="1"/>
    <col min="14919" max="14919" width="5.625" style="1" customWidth="1"/>
    <col min="14920" max="14920" width="3.25" style="1" customWidth="1"/>
    <col min="14921" max="14923" width="3.625" style="1" customWidth="1"/>
    <col min="14924" max="14926" width="6.625" style="1" customWidth="1"/>
    <col min="14927" max="15104" width="9" style="1"/>
    <col min="15105" max="15113" width="5.625" style="1" customWidth="1"/>
    <col min="15114" max="15114" width="1.625" style="1" customWidth="1"/>
    <col min="15115" max="15115" width="4.625" style="1" customWidth="1"/>
    <col min="15116" max="15123" width="5.625" style="1" customWidth="1"/>
    <col min="15124" max="15124" width="4.125" style="1" customWidth="1"/>
    <col min="15125" max="15129" width="3.625" style="1" customWidth="1"/>
    <col min="15130" max="15130" width="2.125" style="1" customWidth="1"/>
    <col min="15131" max="15131" width="5" style="1" customWidth="1"/>
    <col min="15132" max="15132" width="6" style="1" customWidth="1"/>
    <col min="15133" max="15133" width="2.125" style="1" customWidth="1"/>
    <col min="15134" max="15134" width="5.625" style="1" customWidth="1"/>
    <col min="15135" max="15135" width="2.125" style="1" customWidth="1"/>
    <col min="15136" max="15136" width="5.625" style="1" customWidth="1"/>
    <col min="15137" max="15137" width="3.25" style="1" customWidth="1"/>
    <col min="15138" max="15140" width="3.625" style="1" customWidth="1"/>
    <col min="15141" max="15143" width="6.625" style="1" customWidth="1"/>
    <col min="15144" max="15152" width="5.625" style="1" customWidth="1"/>
    <col min="15153" max="15153" width="1.625" style="1" customWidth="1"/>
    <col min="15154" max="15154" width="4.625" style="1" customWidth="1"/>
    <col min="15155" max="15162" width="5.625" style="1" customWidth="1"/>
    <col min="15163" max="15163" width="4.125" style="1" customWidth="1"/>
    <col min="15164" max="15168" width="3.625" style="1" customWidth="1"/>
    <col min="15169" max="15169" width="2.125" style="1" customWidth="1"/>
    <col min="15170" max="15170" width="5" style="1" customWidth="1"/>
    <col min="15171" max="15171" width="6" style="1" customWidth="1"/>
    <col min="15172" max="15172" width="2.125" style="1" customWidth="1"/>
    <col min="15173" max="15173" width="5.625" style="1" customWidth="1"/>
    <col min="15174" max="15174" width="2.125" style="1" customWidth="1"/>
    <col min="15175" max="15175" width="5.625" style="1" customWidth="1"/>
    <col min="15176" max="15176" width="3.25" style="1" customWidth="1"/>
    <col min="15177" max="15179" width="3.625" style="1" customWidth="1"/>
    <col min="15180" max="15182" width="6.625" style="1" customWidth="1"/>
    <col min="15183" max="15360" width="9" style="1"/>
    <col min="15361" max="15369" width="5.625" style="1" customWidth="1"/>
    <col min="15370" max="15370" width="1.625" style="1" customWidth="1"/>
    <col min="15371" max="15371" width="4.625" style="1" customWidth="1"/>
    <col min="15372" max="15379" width="5.625" style="1" customWidth="1"/>
    <col min="15380" max="15380" width="4.125" style="1" customWidth="1"/>
    <col min="15381" max="15385" width="3.625" style="1" customWidth="1"/>
    <col min="15386" max="15386" width="2.125" style="1" customWidth="1"/>
    <col min="15387" max="15387" width="5" style="1" customWidth="1"/>
    <col min="15388" max="15388" width="6" style="1" customWidth="1"/>
    <col min="15389" max="15389" width="2.125" style="1" customWidth="1"/>
    <col min="15390" max="15390" width="5.625" style="1" customWidth="1"/>
    <col min="15391" max="15391" width="2.125" style="1" customWidth="1"/>
    <col min="15392" max="15392" width="5.625" style="1" customWidth="1"/>
    <col min="15393" max="15393" width="3.25" style="1" customWidth="1"/>
    <col min="15394" max="15396" width="3.625" style="1" customWidth="1"/>
    <col min="15397" max="15399" width="6.625" style="1" customWidth="1"/>
    <col min="15400" max="15408" width="5.625" style="1" customWidth="1"/>
    <col min="15409" max="15409" width="1.625" style="1" customWidth="1"/>
    <col min="15410" max="15410" width="4.625" style="1" customWidth="1"/>
    <col min="15411" max="15418" width="5.625" style="1" customWidth="1"/>
    <col min="15419" max="15419" width="4.125" style="1" customWidth="1"/>
    <col min="15420" max="15424" width="3.625" style="1" customWidth="1"/>
    <col min="15425" max="15425" width="2.125" style="1" customWidth="1"/>
    <col min="15426" max="15426" width="5" style="1" customWidth="1"/>
    <col min="15427" max="15427" width="6" style="1" customWidth="1"/>
    <col min="15428" max="15428" width="2.125" style="1" customWidth="1"/>
    <col min="15429" max="15429" width="5.625" style="1" customWidth="1"/>
    <col min="15430" max="15430" width="2.125" style="1" customWidth="1"/>
    <col min="15431" max="15431" width="5.625" style="1" customWidth="1"/>
    <col min="15432" max="15432" width="3.25" style="1" customWidth="1"/>
    <col min="15433" max="15435" width="3.625" style="1" customWidth="1"/>
    <col min="15436" max="15438" width="6.625" style="1" customWidth="1"/>
    <col min="15439" max="15616" width="9" style="1"/>
    <col min="15617" max="15625" width="5.625" style="1" customWidth="1"/>
    <col min="15626" max="15626" width="1.625" style="1" customWidth="1"/>
    <col min="15627" max="15627" width="4.625" style="1" customWidth="1"/>
    <col min="15628" max="15635" width="5.625" style="1" customWidth="1"/>
    <col min="15636" max="15636" width="4.125" style="1" customWidth="1"/>
    <col min="15637" max="15641" width="3.625" style="1" customWidth="1"/>
    <col min="15642" max="15642" width="2.125" style="1" customWidth="1"/>
    <col min="15643" max="15643" width="5" style="1" customWidth="1"/>
    <col min="15644" max="15644" width="6" style="1" customWidth="1"/>
    <col min="15645" max="15645" width="2.125" style="1" customWidth="1"/>
    <col min="15646" max="15646" width="5.625" style="1" customWidth="1"/>
    <col min="15647" max="15647" width="2.125" style="1" customWidth="1"/>
    <col min="15648" max="15648" width="5.625" style="1" customWidth="1"/>
    <col min="15649" max="15649" width="3.25" style="1" customWidth="1"/>
    <col min="15650" max="15652" width="3.625" style="1" customWidth="1"/>
    <col min="15653" max="15655" width="6.625" style="1" customWidth="1"/>
    <col min="15656" max="15664" width="5.625" style="1" customWidth="1"/>
    <col min="15665" max="15665" width="1.625" style="1" customWidth="1"/>
    <col min="15666" max="15666" width="4.625" style="1" customWidth="1"/>
    <col min="15667" max="15674" width="5.625" style="1" customWidth="1"/>
    <col min="15675" max="15675" width="4.125" style="1" customWidth="1"/>
    <col min="15676" max="15680" width="3.625" style="1" customWidth="1"/>
    <col min="15681" max="15681" width="2.125" style="1" customWidth="1"/>
    <col min="15682" max="15682" width="5" style="1" customWidth="1"/>
    <col min="15683" max="15683" width="6" style="1" customWidth="1"/>
    <col min="15684" max="15684" width="2.125" style="1" customWidth="1"/>
    <col min="15685" max="15685" width="5.625" style="1" customWidth="1"/>
    <col min="15686" max="15686" width="2.125" style="1" customWidth="1"/>
    <col min="15687" max="15687" width="5.625" style="1" customWidth="1"/>
    <col min="15688" max="15688" width="3.25" style="1" customWidth="1"/>
    <col min="15689" max="15691" width="3.625" style="1" customWidth="1"/>
    <col min="15692" max="15694" width="6.625" style="1" customWidth="1"/>
    <col min="15695" max="15872" width="9" style="1"/>
    <col min="15873" max="15881" width="5.625" style="1" customWidth="1"/>
    <col min="15882" max="15882" width="1.625" style="1" customWidth="1"/>
    <col min="15883" max="15883" width="4.625" style="1" customWidth="1"/>
    <col min="15884" max="15891" width="5.625" style="1" customWidth="1"/>
    <col min="15892" max="15892" width="4.125" style="1" customWidth="1"/>
    <col min="15893" max="15897" width="3.625" style="1" customWidth="1"/>
    <col min="15898" max="15898" width="2.125" style="1" customWidth="1"/>
    <col min="15899" max="15899" width="5" style="1" customWidth="1"/>
    <col min="15900" max="15900" width="6" style="1" customWidth="1"/>
    <col min="15901" max="15901" width="2.125" style="1" customWidth="1"/>
    <col min="15902" max="15902" width="5.625" style="1" customWidth="1"/>
    <col min="15903" max="15903" width="2.125" style="1" customWidth="1"/>
    <col min="15904" max="15904" width="5.625" style="1" customWidth="1"/>
    <col min="15905" max="15905" width="3.25" style="1" customWidth="1"/>
    <col min="15906" max="15908" width="3.625" style="1" customWidth="1"/>
    <col min="15909" max="15911" width="6.625" style="1" customWidth="1"/>
    <col min="15912" max="15920" width="5.625" style="1" customWidth="1"/>
    <col min="15921" max="15921" width="1.625" style="1" customWidth="1"/>
    <col min="15922" max="15922" width="4.625" style="1" customWidth="1"/>
    <col min="15923" max="15930" width="5.625" style="1" customWidth="1"/>
    <col min="15931" max="15931" width="4.125" style="1" customWidth="1"/>
    <col min="15932" max="15936" width="3.625" style="1" customWidth="1"/>
    <col min="15937" max="15937" width="2.125" style="1" customWidth="1"/>
    <col min="15938" max="15938" width="5" style="1" customWidth="1"/>
    <col min="15939" max="15939" width="6" style="1" customWidth="1"/>
    <col min="15940" max="15940" width="2.125" style="1" customWidth="1"/>
    <col min="15941" max="15941" width="5.625" style="1" customWidth="1"/>
    <col min="15942" max="15942" width="2.125" style="1" customWidth="1"/>
    <col min="15943" max="15943" width="5.625" style="1" customWidth="1"/>
    <col min="15944" max="15944" width="3.25" style="1" customWidth="1"/>
    <col min="15945" max="15947" width="3.625" style="1" customWidth="1"/>
    <col min="15948" max="15950" width="6.625" style="1" customWidth="1"/>
    <col min="15951" max="16128" width="9" style="1"/>
    <col min="16129" max="16137" width="5.625" style="1" customWidth="1"/>
    <col min="16138" max="16138" width="1.625" style="1" customWidth="1"/>
    <col min="16139" max="16139" width="4.625" style="1" customWidth="1"/>
    <col min="16140" max="16147" width="5.625" style="1" customWidth="1"/>
    <col min="16148" max="16148" width="4.125" style="1" customWidth="1"/>
    <col min="16149" max="16153" width="3.625" style="1" customWidth="1"/>
    <col min="16154" max="16154" width="2.125" style="1" customWidth="1"/>
    <col min="16155" max="16155" width="5" style="1" customWidth="1"/>
    <col min="16156" max="16156" width="6" style="1" customWidth="1"/>
    <col min="16157" max="16157" width="2.125" style="1" customWidth="1"/>
    <col min="16158" max="16158" width="5.625" style="1" customWidth="1"/>
    <col min="16159" max="16159" width="2.125" style="1" customWidth="1"/>
    <col min="16160" max="16160" width="5.625" style="1" customWidth="1"/>
    <col min="16161" max="16161" width="3.25" style="1" customWidth="1"/>
    <col min="16162" max="16164" width="3.625" style="1" customWidth="1"/>
    <col min="16165" max="16167" width="6.625" style="1" customWidth="1"/>
    <col min="16168" max="16176" width="5.625" style="1" customWidth="1"/>
    <col min="16177" max="16177" width="1.625" style="1" customWidth="1"/>
    <col min="16178" max="16178" width="4.625" style="1" customWidth="1"/>
    <col min="16179" max="16186" width="5.625" style="1" customWidth="1"/>
    <col min="16187" max="16187" width="4.125" style="1" customWidth="1"/>
    <col min="16188" max="16192" width="3.625" style="1" customWidth="1"/>
    <col min="16193" max="16193" width="2.125" style="1" customWidth="1"/>
    <col min="16194" max="16194" width="5" style="1" customWidth="1"/>
    <col min="16195" max="16195" width="6" style="1" customWidth="1"/>
    <col min="16196" max="16196" width="2.125" style="1" customWidth="1"/>
    <col min="16197" max="16197" width="5.625" style="1" customWidth="1"/>
    <col min="16198" max="16198" width="2.125" style="1" customWidth="1"/>
    <col min="16199" max="16199" width="5.625" style="1" customWidth="1"/>
    <col min="16200" max="16200" width="3.25" style="1" customWidth="1"/>
    <col min="16201" max="16203" width="3.625" style="1" customWidth="1"/>
    <col min="16204" max="16206" width="6.625" style="1" customWidth="1"/>
    <col min="16207" max="16384" width="9" style="1"/>
  </cols>
  <sheetData>
    <row r="1" spans="1:78" ht="9.75" customHeight="1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1"/>
      <c r="AL1" s="151"/>
      <c r="AM1" s="152"/>
      <c r="AN1" s="149" t="s">
        <v>0</v>
      </c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1"/>
      <c r="BY1" s="151"/>
      <c r="BZ1" s="152"/>
    </row>
    <row r="2" spans="1:78" ht="16.5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5"/>
      <c r="AL2" s="155"/>
      <c r="AM2" s="156"/>
      <c r="AN2" s="153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5"/>
      <c r="BY2" s="155"/>
      <c r="BZ2" s="156"/>
    </row>
    <row r="3" spans="1:78" ht="9.75" customHeight="1" thickBot="1">
      <c r="A3" s="153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5"/>
      <c r="AL3" s="155"/>
      <c r="AM3" s="156"/>
      <c r="AN3" s="153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5"/>
      <c r="BY3" s="155"/>
      <c r="BZ3" s="156"/>
    </row>
    <row r="4" spans="1:78" s="2" customFormat="1" ht="19.5" customHeight="1">
      <c r="A4" s="157" t="s">
        <v>1</v>
      </c>
      <c r="B4" s="158"/>
      <c r="C4" s="158"/>
      <c r="D4" s="158"/>
      <c r="E4" s="158"/>
      <c r="F4" s="158"/>
      <c r="G4" s="159"/>
      <c r="H4" s="160" t="s">
        <v>145</v>
      </c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2"/>
      <c r="T4" s="163" t="s">
        <v>2</v>
      </c>
      <c r="U4" s="161"/>
      <c r="V4" s="161"/>
      <c r="W4" s="161"/>
      <c r="X4" s="164"/>
      <c r="Y4" s="165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4"/>
      <c r="AK4" s="166" t="s">
        <v>3</v>
      </c>
      <c r="AL4" s="167"/>
      <c r="AM4" s="168"/>
      <c r="AN4" s="157" t="s">
        <v>1</v>
      </c>
      <c r="AO4" s="158"/>
      <c r="AP4" s="158"/>
      <c r="AQ4" s="158"/>
      <c r="AR4" s="158"/>
      <c r="AS4" s="158"/>
      <c r="AT4" s="159"/>
      <c r="AU4" s="160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2"/>
      <c r="BG4" s="163" t="s">
        <v>2</v>
      </c>
      <c r="BH4" s="161"/>
      <c r="BI4" s="161"/>
      <c r="BJ4" s="161"/>
      <c r="BK4" s="164"/>
      <c r="BL4" s="165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4"/>
      <c r="BX4" s="166" t="s">
        <v>3</v>
      </c>
      <c r="BY4" s="167"/>
      <c r="BZ4" s="168"/>
    </row>
    <row r="5" spans="1:78" s="2" customFormat="1" ht="38.25" customHeight="1" thickBot="1">
      <c r="A5" s="169" t="s">
        <v>4</v>
      </c>
      <c r="B5" s="170"/>
      <c r="C5" s="170"/>
      <c r="D5" s="170"/>
      <c r="E5" s="170"/>
      <c r="F5" s="170"/>
      <c r="G5" s="171"/>
      <c r="H5" s="172" t="s">
        <v>132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4"/>
      <c r="T5" s="175" t="s">
        <v>5</v>
      </c>
      <c r="U5" s="176"/>
      <c r="V5" s="176"/>
      <c r="W5" s="176"/>
      <c r="X5" s="177"/>
      <c r="Y5" s="178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7"/>
      <c r="AK5" s="3">
        <v>1</v>
      </c>
      <c r="AL5" s="4" t="s">
        <v>6</v>
      </c>
      <c r="AM5" s="5">
        <v>2</v>
      </c>
      <c r="AN5" s="169" t="s">
        <v>7</v>
      </c>
      <c r="AO5" s="170"/>
      <c r="AP5" s="170"/>
      <c r="AQ5" s="170"/>
      <c r="AR5" s="170"/>
      <c r="AS5" s="170"/>
      <c r="AT5" s="171"/>
      <c r="AU5" s="179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80"/>
      <c r="BG5" s="175" t="s">
        <v>5</v>
      </c>
      <c r="BH5" s="176"/>
      <c r="BI5" s="176"/>
      <c r="BJ5" s="176"/>
      <c r="BK5" s="177"/>
      <c r="BL5" s="178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7"/>
      <c r="BX5" s="190" t="s">
        <v>8</v>
      </c>
      <c r="BY5" s="191"/>
      <c r="BZ5" s="192"/>
    </row>
    <row r="6" spans="1:78" ht="15.95" customHeight="1">
      <c r="A6" s="6" t="s">
        <v>9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3"/>
      <c r="T6" s="142"/>
      <c r="U6" s="142" t="s">
        <v>10</v>
      </c>
      <c r="V6" s="142"/>
      <c r="W6" s="142"/>
      <c r="Y6" s="193">
        <f>R44</f>
        <v>666.01764256103615</v>
      </c>
      <c r="Z6" s="193"/>
      <c r="AA6" s="142" t="s">
        <v>11</v>
      </c>
      <c r="AB6" s="142"/>
      <c r="AC6" s="142"/>
      <c r="AD6" s="142"/>
      <c r="AE6" s="7"/>
      <c r="AF6" s="8"/>
      <c r="AG6" s="9"/>
      <c r="AH6" s="8"/>
      <c r="AI6" s="142"/>
      <c r="AJ6" s="143"/>
      <c r="AK6" s="194" t="s">
        <v>12</v>
      </c>
      <c r="AL6" s="195"/>
      <c r="AM6" s="143"/>
      <c r="AN6" s="6" t="s">
        <v>9</v>
      </c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3"/>
      <c r="BG6" s="142"/>
      <c r="BH6" s="142" t="s">
        <v>10</v>
      </c>
      <c r="BI6" s="142"/>
      <c r="BJ6" s="142"/>
      <c r="BL6" s="196">
        <f>BE44</f>
        <v>18.859519411966353</v>
      </c>
      <c r="BM6" s="196"/>
      <c r="BN6" s="142" t="s">
        <v>13</v>
      </c>
      <c r="BO6" s="142"/>
      <c r="BP6" s="142"/>
      <c r="BQ6" s="142"/>
      <c r="BR6" s="7"/>
      <c r="BS6" s="8"/>
      <c r="BT6" s="9"/>
      <c r="BU6" s="8"/>
      <c r="BV6" s="142"/>
      <c r="BW6" s="143"/>
      <c r="BX6" s="194" t="s">
        <v>12</v>
      </c>
      <c r="BY6" s="195"/>
      <c r="BZ6" s="143"/>
    </row>
    <row r="7" spans="1:78" ht="15.95" customHeight="1">
      <c r="A7" s="10"/>
      <c r="B7" s="11" t="s">
        <v>14</v>
      </c>
      <c r="C7" s="144"/>
      <c r="D7" s="144"/>
      <c r="E7" s="144"/>
      <c r="F7" s="144"/>
      <c r="G7" s="144"/>
      <c r="H7" s="144" t="s">
        <v>15</v>
      </c>
      <c r="I7" s="144"/>
      <c r="J7" s="144"/>
      <c r="K7" s="454">
        <f>8.6*14.5+14.7</f>
        <v>139.39999999999998</v>
      </c>
      <c r="L7" s="455"/>
      <c r="M7" s="455"/>
      <c r="N7" s="455"/>
      <c r="O7" s="455"/>
      <c r="P7" s="455"/>
      <c r="Q7" s="455"/>
      <c r="R7" s="455"/>
      <c r="S7" s="456"/>
      <c r="T7" s="144"/>
      <c r="U7" s="144"/>
      <c r="V7" s="144"/>
      <c r="W7" s="144"/>
      <c r="X7" s="12"/>
      <c r="Y7" s="12"/>
      <c r="Z7" s="144"/>
      <c r="AA7" s="144"/>
      <c r="AB7" s="144"/>
      <c r="AC7" s="144"/>
      <c r="AD7" s="144"/>
      <c r="AE7" s="13"/>
      <c r="AF7" s="14"/>
      <c r="AG7" s="15"/>
      <c r="AH7" s="14"/>
      <c r="AI7" s="144"/>
      <c r="AJ7" s="145"/>
      <c r="AK7" s="16"/>
      <c r="AL7" s="144"/>
      <c r="AM7" s="145"/>
      <c r="AN7" s="10"/>
      <c r="AO7" s="11" t="s">
        <v>14</v>
      </c>
      <c r="AP7" s="144"/>
      <c r="AQ7" s="144"/>
      <c r="AR7" s="144"/>
      <c r="AS7" s="144"/>
      <c r="AT7" s="144"/>
      <c r="AU7" s="144" t="s">
        <v>16</v>
      </c>
      <c r="AV7" s="144"/>
      <c r="AW7" s="144"/>
      <c r="AX7" s="197"/>
      <c r="AY7" s="198"/>
      <c r="AZ7" s="198"/>
      <c r="BA7" s="198"/>
      <c r="BB7" s="198"/>
      <c r="BC7" s="198"/>
      <c r="BD7" s="198"/>
      <c r="BE7" s="198"/>
      <c r="BF7" s="199"/>
      <c r="BG7" s="144"/>
      <c r="BH7" s="144"/>
      <c r="BI7" s="144"/>
      <c r="BJ7" s="144"/>
      <c r="BK7" s="12"/>
      <c r="BL7" s="12"/>
      <c r="BM7" s="144"/>
      <c r="BN7" s="144"/>
      <c r="BO7" s="144"/>
      <c r="BP7" s="144"/>
      <c r="BQ7" s="144"/>
      <c r="BR7" s="13"/>
      <c r="BS7" s="14"/>
      <c r="BT7" s="15"/>
      <c r="BU7" s="14"/>
      <c r="BV7" s="144"/>
      <c r="BW7" s="145"/>
      <c r="BX7" s="16"/>
      <c r="BY7" s="144"/>
      <c r="BZ7" s="145"/>
    </row>
    <row r="8" spans="1:78" ht="15.95" customHeight="1">
      <c r="A8" s="17"/>
      <c r="B8" s="11" t="s">
        <v>17</v>
      </c>
      <c r="C8" s="144"/>
      <c r="D8" s="144"/>
      <c r="E8" s="144"/>
      <c r="F8" s="144"/>
      <c r="G8" s="144"/>
      <c r="H8" s="18" t="s">
        <v>18</v>
      </c>
      <c r="I8" s="144"/>
      <c r="J8" s="144"/>
      <c r="K8" s="451">
        <f>178*9/5+32</f>
        <v>352.4</v>
      </c>
      <c r="L8" s="452"/>
      <c r="M8" s="452"/>
      <c r="N8" s="452"/>
      <c r="O8" s="452"/>
      <c r="P8" s="452"/>
      <c r="Q8" s="452"/>
      <c r="R8" s="452"/>
      <c r="S8" s="453"/>
      <c r="T8" s="144"/>
      <c r="U8" s="19">
        <f>R19</f>
        <v>16</v>
      </c>
      <c r="V8" s="13" t="s">
        <v>19</v>
      </c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1"/>
      <c r="AH8" s="144"/>
      <c r="AI8" s="144"/>
      <c r="AJ8" s="145"/>
      <c r="AK8" s="20"/>
      <c r="AL8" s="144"/>
      <c r="AM8" s="145"/>
      <c r="AN8" s="17"/>
      <c r="AO8" s="11" t="s">
        <v>17</v>
      </c>
      <c r="AP8" s="144"/>
      <c r="AQ8" s="144"/>
      <c r="AR8" s="144"/>
      <c r="AS8" s="144"/>
      <c r="AT8" s="144"/>
      <c r="AU8" s="18" t="s">
        <v>20</v>
      </c>
      <c r="AV8" s="144"/>
      <c r="AW8" s="144"/>
      <c r="AX8" s="181"/>
      <c r="AY8" s="182"/>
      <c r="AZ8" s="182"/>
      <c r="BA8" s="182"/>
      <c r="BB8" s="182"/>
      <c r="BC8" s="182"/>
      <c r="BD8" s="182"/>
      <c r="BE8" s="182"/>
      <c r="BF8" s="183"/>
      <c r="BG8" s="144"/>
      <c r="BH8" s="19">
        <f>BE19</f>
        <v>16</v>
      </c>
      <c r="BI8" s="13" t="s">
        <v>19</v>
      </c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1"/>
      <c r="BU8" s="144"/>
      <c r="BV8" s="144"/>
      <c r="BW8" s="145"/>
      <c r="BX8" s="21" t="s">
        <v>21</v>
      </c>
      <c r="BY8" s="144"/>
      <c r="BZ8" s="145"/>
    </row>
    <row r="9" spans="1:78" ht="15.95" customHeight="1">
      <c r="A9" s="17"/>
      <c r="B9" s="22"/>
      <c r="C9" s="144"/>
      <c r="D9" s="144"/>
      <c r="E9" s="144"/>
      <c r="F9" s="144"/>
      <c r="G9" s="144"/>
      <c r="H9" s="144"/>
      <c r="I9" s="144"/>
      <c r="J9" s="144"/>
      <c r="K9" s="184" t="s">
        <v>22</v>
      </c>
      <c r="L9" s="185"/>
      <c r="M9" s="186"/>
      <c r="N9" s="184" t="s">
        <v>23</v>
      </c>
      <c r="O9" s="185"/>
      <c r="P9" s="186"/>
      <c r="Q9" s="187" t="s">
        <v>24</v>
      </c>
      <c r="R9" s="188"/>
      <c r="S9" s="189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1"/>
      <c r="AH9" s="144"/>
      <c r="AI9" s="144"/>
      <c r="AJ9" s="145"/>
      <c r="AK9" s="20"/>
      <c r="AL9" s="144"/>
      <c r="AM9" s="145"/>
      <c r="AN9" s="17"/>
      <c r="AO9" s="22"/>
      <c r="AP9" s="144"/>
      <c r="AQ9" s="144"/>
      <c r="AR9" s="144"/>
      <c r="AS9" s="144"/>
      <c r="AT9" s="144"/>
      <c r="AU9" s="144"/>
      <c r="AV9" s="144"/>
      <c r="AW9" s="144"/>
      <c r="AX9" s="184" t="s">
        <v>22</v>
      </c>
      <c r="AY9" s="185"/>
      <c r="AZ9" s="186"/>
      <c r="BA9" s="184" t="s">
        <v>23</v>
      </c>
      <c r="BB9" s="185"/>
      <c r="BC9" s="186"/>
      <c r="BD9" s="187" t="s">
        <v>24</v>
      </c>
      <c r="BE9" s="188"/>
      <c r="BF9" s="189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1"/>
      <c r="BU9" s="144"/>
      <c r="BV9" s="144"/>
      <c r="BW9" s="145"/>
      <c r="BX9" s="16"/>
      <c r="BY9" s="144"/>
      <c r="BZ9" s="145"/>
    </row>
    <row r="10" spans="1:78" ht="15.95" customHeight="1">
      <c r="A10" s="17"/>
      <c r="B10" s="11" t="s">
        <v>25</v>
      </c>
      <c r="C10" s="144"/>
      <c r="D10" s="144"/>
      <c r="E10" s="144"/>
      <c r="F10" s="144"/>
      <c r="G10" s="144"/>
      <c r="H10" s="144" t="s">
        <v>26</v>
      </c>
      <c r="I10" s="144"/>
      <c r="J10" s="144"/>
      <c r="K10" s="200">
        <f>81.5813572142144*2.2*1000</f>
        <v>179478.9858712717</v>
      </c>
      <c r="L10" s="201"/>
      <c r="M10" s="202"/>
      <c r="N10" s="200">
        <f>0.781648679519044*2.2*1000</f>
        <v>1719.627094941897</v>
      </c>
      <c r="O10" s="201"/>
      <c r="P10" s="202"/>
      <c r="Q10" s="203">
        <f>K10*(K12/100+1)+N10*(N12/100+1)</f>
        <v>199318.47426283496</v>
      </c>
      <c r="R10" s="204"/>
      <c r="S10" s="205"/>
      <c r="T10" s="144"/>
      <c r="U10" s="221">
        <f>P34</f>
        <v>15</v>
      </c>
      <c r="V10" s="221"/>
      <c r="W10" s="144"/>
      <c r="X10" s="144"/>
      <c r="Y10" s="144"/>
      <c r="Z10" s="144"/>
      <c r="AA10" s="144"/>
      <c r="AC10" s="222">
        <f>P27</f>
        <v>8</v>
      </c>
      <c r="AD10" s="222"/>
      <c r="AE10" s="144"/>
      <c r="AF10" s="144"/>
      <c r="AG10" s="11"/>
      <c r="AH10" s="144"/>
      <c r="AI10" s="144"/>
      <c r="AJ10" s="145"/>
      <c r="AK10" s="20"/>
      <c r="AL10" s="144"/>
      <c r="AM10" s="145"/>
      <c r="AN10" s="17"/>
      <c r="AO10" s="11" t="s">
        <v>25</v>
      </c>
      <c r="AP10" s="144"/>
      <c r="AQ10" s="144"/>
      <c r="AR10" s="144"/>
      <c r="AS10" s="144"/>
      <c r="AT10" s="144"/>
      <c r="AU10" s="144" t="s">
        <v>27</v>
      </c>
      <c r="AV10" s="144"/>
      <c r="AW10" s="144"/>
      <c r="AX10" s="200">
        <f>K10*0.4535924</f>
        <v>81410.303950916219</v>
      </c>
      <c r="AY10" s="201"/>
      <c r="AZ10" s="202"/>
      <c r="BA10" s="200">
        <f>N10*0.4535924</f>
        <v>780.00978109972289</v>
      </c>
      <c r="BB10" s="201"/>
      <c r="BC10" s="202"/>
      <c r="BD10" s="203">
        <f>AX10*(AX12/100+1)+BA10*(BA12/100+1)</f>
        <v>90409.345105217537</v>
      </c>
      <c r="BE10" s="204"/>
      <c r="BF10" s="205"/>
      <c r="BG10" s="144"/>
      <c r="BH10" s="206">
        <f>BC34</f>
        <v>381</v>
      </c>
      <c r="BI10" s="206"/>
      <c r="BJ10" s="144"/>
      <c r="BK10" s="144"/>
      <c r="BL10" s="144"/>
      <c r="BM10" s="144"/>
      <c r="BN10" s="144"/>
      <c r="BP10" s="207">
        <f>BC27</f>
        <v>2438.4</v>
      </c>
      <c r="BQ10" s="207"/>
      <c r="BR10" s="144"/>
      <c r="BS10" s="144"/>
      <c r="BT10" s="11"/>
      <c r="BU10" s="144"/>
      <c r="BV10" s="144"/>
      <c r="BW10" s="145"/>
      <c r="BX10" s="16"/>
      <c r="BY10" s="144"/>
      <c r="BZ10" s="145"/>
    </row>
    <row r="11" spans="1:78" ht="15.95" customHeight="1">
      <c r="A11" s="17"/>
      <c r="B11" s="11" t="s">
        <v>28</v>
      </c>
      <c r="C11" s="144"/>
      <c r="D11" s="144"/>
      <c r="E11" s="144"/>
      <c r="F11" s="144"/>
      <c r="G11" s="144"/>
      <c r="H11" s="144" t="s">
        <v>29</v>
      </c>
      <c r="I11" s="144"/>
      <c r="J11" s="144"/>
      <c r="K11" s="467">
        <f>4.97962573764764*0.062</f>
        <v>0.30873679573415369</v>
      </c>
      <c r="L11" s="468"/>
      <c r="M11" s="469"/>
      <c r="N11" s="208">
        <f>875.81656601557*0.062</f>
        <v>54.300627092965335</v>
      </c>
      <c r="O11" s="209"/>
      <c r="P11" s="210"/>
      <c r="Q11" s="211">
        <f>(K10+N10)/(K13+N13)</f>
        <v>17.872065317379285</v>
      </c>
      <c r="R11" s="212"/>
      <c r="S11" s="213"/>
      <c r="T11" s="144"/>
      <c r="U11" s="221"/>
      <c r="V11" s="221"/>
      <c r="W11" s="144"/>
      <c r="X11" s="144"/>
      <c r="Y11" s="144"/>
      <c r="Z11" s="144"/>
      <c r="AA11" s="144"/>
      <c r="AB11" s="214"/>
      <c r="AC11" s="214"/>
      <c r="AD11" s="214"/>
      <c r="AE11" s="144"/>
      <c r="AF11" s="144"/>
      <c r="AG11" s="11"/>
      <c r="AH11" s="144"/>
      <c r="AI11" s="144"/>
      <c r="AJ11" s="145"/>
      <c r="AK11" s="20"/>
      <c r="AL11" s="144"/>
      <c r="AM11" s="145"/>
      <c r="AN11" s="17"/>
      <c r="AO11" s="11" t="s">
        <v>28</v>
      </c>
      <c r="AP11" s="144"/>
      <c r="AQ11" s="144"/>
      <c r="AR11" s="144"/>
      <c r="AS11" s="144"/>
      <c r="AT11" s="144"/>
      <c r="AU11" s="144" t="s">
        <v>30</v>
      </c>
      <c r="AV11" s="144"/>
      <c r="AW11" s="144"/>
      <c r="AX11" s="215">
        <f>K11*0.4535924/0.0283168</f>
        <v>4.9454975189768806</v>
      </c>
      <c r="AY11" s="216"/>
      <c r="AZ11" s="217"/>
      <c r="BA11" s="218">
        <f>N11*0.4535924/0.0283168</f>
        <v>869.81409497553284</v>
      </c>
      <c r="BB11" s="219"/>
      <c r="BC11" s="220"/>
      <c r="BD11" s="211">
        <f>(AX10+BA10)/(AX13+BA13)</f>
        <v>4.5387358424347193</v>
      </c>
      <c r="BE11" s="212"/>
      <c r="BF11" s="213"/>
      <c r="BG11" s="144"/>
      <c r="BH11" s="206"/>
      <c r="BI11" s="206"/>
      <c r="BJ11" s="144"/>
      <c r="BK11" s="144"/>
      <c r="BL11" s="144"/>
      <c r="BM11" s="144"/>
      <c r="BN11" s="144"/>
      <c r="BO11" s="214"/>
      <c r="BP11" s="214"/>
      <c r="BQ11" s="214"/>
      <c r="BR11" s="144"/>
      <c r="BS11" s="144"/>
      <c r="BT11" s="11"/>
      <c r="BU11" s="144"/>
      <c r="BV11" s="144"/>
      <c r="BW11" s="145"/>
      <c r="BX11" s="16"/>
      <c r="BY11" s="144"/>
      <c r="BZ11" s="145"/>
    </row>
    <row r="12" spans="1:78" ht="15.95" customHeight="1">
      <c r="A12" s="17"/>
      <c r="B12" s="1" t="s">
        <v>31</v>
      </c>
      <c r="H12" s="1" t="s">
        <v>32</v>
      </c>
      <c r="K12" s="223">
        <v>10</v>
      </c>
      <c r="L12" s="224"/>
      <c r="M12" s="225"/>
      <c r="N12" s="226">
        <v>10</v>
      </c>
      <c r="O12" s="227"/>
      <c r="P12" s="228"/>
      <c r="Q12" s="229" t="s">
        <v>33</v>
      </c>
      <c r="R12" s="230"/>
      <c r="S12" s="231"/>
      <c r="T12" s="144"/>
      <c r="U12" s="221">
        <f>P35</f>
        <v>6</v>
      </c>
      <c r="V12" s="221"/>
      <c r="W12" s="144"/>
      <c r="X12" s="144"/>
      <c r="Y12" s="144"/>
      <c r="Z12" s="144"/>
      <c r="AA12" s="23"/>
      <c r="AB12" s="23"/>
      <c r="AC12" s="23"/>
      <c r="AD12" s="24"/>
      <c r="AE12" s="24"/>
      <c r="AF12" s="23"/>
      <c r="AG12" s="11"/>
      <c r="AH12" s="144"/>
      <c r="AI12" s="144"/>
      <c r="AJ12" s="145"/>
      <c r="AK12" s="20"/>
      <c r="AL12" s="144"/>
      <c r="AM12" s="145"/>
      <c r="AN12" s="17"/>
      <c r="AO12" s="1" t="s">
        <v>31</v>
      </c>
      <c r="AU12" s="1" t="s">
        <v>32</v>
      </c>
      <c r="AX12" s="223">
        <f>K12</f>
        <v>10</v>
      </c>
      <c r="AY12" s="224"/>
      <c r="AZ12" s="225"/>
      <c r="BA12" s="226">
        <f>N12</f>
        <v>10</v>
      </c>
      <c r="BB12" s="232"/>
      <c r="BC12" s="233"/>
      <c r="BD12" s="229" t="str">
        <f>Q12</f>
        <v>-</v>
      </c>
      <c r="BE12" s="230"/>
      <c r="BF12" s="231"/>
      <c r="BG12" s="144"/>
      <c r="BH12" s="206">
        <f>BC35</f>
        <v>152.4</v>
      </c>
      <c r="BI12" s="206"/>
      <c r="BJ12" s="144"/>
      <c r="BK12" s="144"/>
      <c r="BL12" s="144"/>
      <c r="BM12" s="144"/>
      <c r="BN12" s="23"/>
      <c r="BO12" s="23"/>
      <c r="BP12" s="23"/>
      <c r="BQ12" s="24"/>
      <c r="BR12" s="24"/>
      <c r="BS12" s="23"/>
      <c r="BT12" s="11"/>
      <c r="BU12" s="144"/>
      <c r="BV12" s="144"/>
      <c r="BW12" s="145"/>
      <c r="BX12" s="16"/>
      <c r="BY12" s="144"/>
      <c r="BZ12" s="145"/>
    </row>
    <row r="13" spans="1:78" ht="15.95" customHeight="1" thickBot="1">
      <c r="A13" s="25"/>
      <c r="B13" s="26" t="s">
        <v>34</v>
      </c>
      <c r="C13" s="27"/>
      <c r="D13" s="27"/>
      <c r="E13" s="27"/>
      <c r="F13" s="27"/>
      <c r="G13" s="27"/>
      <c r="H13" s="27" t="s">
        <v>35</v>
      </c>
      <c r="I13" s="27"/>
      <c r="J13" s="27"/>
      <c r="K13" s="242">
        <f>287.1*35.314</f>
        <v>10138.6494</v>
      </c>
      <c r="L13" s="243"/>
      <c r="M13" s="244"/>
      <c r="N13" s="245">
        <f>0.00001372*35.315</f>
        <v>4.8452180000000002E-4</v>
      </c>
      <c r="O13" s="246"/>
      <c r="P13" s="247"/>
      <c r="Q13" s="242">
        <f>K13+N13</f>
        <v>10138.649884521801</v>
      </c>
      <c r="R13" s="243"/>
      <c r="S13" s="248"/>
      <c r="T13" s="28"/>
      <c r="U13" s="144"/>
      <c r="V13" s="144"/>
      <c r="W13" s="144"/>
      <c r="X13" s="144"/>
      <c r="Y13" s="144"/>
      <c r="Z13" s="144"/>
      <c r="AA13" s="144"/>
      <c r="AB13" s="144"/>
      <c r="AC13" s="140"/>
      <c r="AD13" s="140"/>
      <c r="AE13" s="29"/>
      <c r="AF13" s="29"/>
      <c r="AG13" s="11"/>
      <c r="AH13" s="144"/>
      <c r="AI13" s="144"/>
      <c r="AJ13" s="145"/>
      <c r="AK13" s="16"/>
      <c r="AL13" s="144"/>
      <c r="AM13" s="145"/>
      <c r="AN13" s="25"/>
      <c r="AO13" s="26" t="s">
        <v>34</v>
      </c>
      <c r="AP13" s="27"/>
      <c r="AQ13" s="27"/>
      <c r="AR13" s="27"/>
      <c r="AS13" s="27"/>
      <c r="AT13" s="27"/>
      <c r="AU13" s="27" t="s">
        <v>36</v>
      </c>
      <c r="AV13" s="27"/>
      <c r="AW13" s="27"/>
      <c r="AX13" s="242">
        <f>AX10*(AX12/100+1)/AX11</f>
        <v>18107.64923091785</v>
      </c>
      <c r="AY13" s="243"/>
      <c r="AZ13" s="244"/>
      <c r="BA13" s="242">
        <f>BA10*(BA12/100+1)/BA11</f>
        <v>0.98643004771477105</v>
      </c>
      <c r="BB13" s="243"/>
      <c r="BC13" s="244"/>
      <c r="BD13" s="242">
        <f>SUM(AX13:BC13)</f>
        <v>18108.635660965567</v>
      </c>
      <c r="BE13" s="243"/>
      <c r="BF13" s="248"/>
      <c r="BG13" s="28"/>
      <c r="BH13" s="144"/>
      <c r="BI13" s="144"/>
      <c r="BJ13" s="144"/>
      <c r="BK13" s="144"/>
      <c r="BL13" s="144"/>
      <c r="BM13" s="144"/>
      <c r="BN13" s="144"/>
      <c r="BO13" s="144"/>
      <c r="BP13" s="140"/>
      <c r="BQ13" s="140"/>
      <c r="BR13" s="29"/>
      <c r="BS13" s="29"/>
      <c r="BT13" s="11"/>
      <c r="BU13" s="144"/>
      <c r="BV13" s="144"/>
      <c r="BW13" s="145"/>
      <c r="BX13" s="16"/>
      <c r="BY13" s="144"/>
      <c r="BZ13" s="145"/>
    </row>
    <row r="14" spans="1:78" ht="15.95" customHeight="1">
      <c r="A14" s="30" t="s">
        <v>37</v>
      </c>
      <c r="B14" s="31"/>
      <c r="C14" s="142"/>
      <c r="D14" s="142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7"/>
      <c r="T14" s="144"/>
      <c r="U14" s="221">
        <f>P37/2+P36</f>
        <v>48</v>
      </c>
      <c r="V14" s="221"/>
      <c r="W14" s="144"/>
      <c r="X14" s="32"/>
      <c r="Y14" s="144"/>
      <c r="Z14" s="144"/>
      <c r="AA14" s="144"/>
      <c r="AB14" s="144"/>
      <c r="AC14" s="234">
        <f>P28</f>
        <v>3.5338232920515993</v>
      </c>
      <c r="AD14" s="234"/>
      <c r="AE14" s="33" t="s">
        <v>38</v>
      </c>
      <c r="AF14" s="144"/>
      <c r="AG14" s="11"/>
      <c r="AH14" s="144"/>
      <c r="AI14" s="144"/>
      <c r="AJ14" s="145"/>
      <c r="AK14" s="16"/>
      <c r="AL14" s="144"/>
      <c r="AM14" s="145"/>
      <c r="AN14" s="30" t="s">
        <v>37</v>
      </c>
      <c r="AO14" s="31"/>
      <c r="AP14" s="142"/>
      <c r="AQ14" s="142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7"/>
      <c r="BG14" s="144"/>
      <c r="BH14" s="206">
        <f>BC37/2+BC36</f>
        <v>1219.2</v>
      </c>
      <c r="BI14" s="206"/>
      <c r="BJ14" s="144"/>
      <c r="BK14" s="32"/>
      <c r="BL14" s="144"/>
      <c r="BM14" s="144"/>
      <c r="BN14" s="144"/>
      <c r="BO14" s="144"/>
      <c r="BP14" s="235">
        <f>BC28</f>
        <v>1.0771093394173274</v>
      </c>
      <c r="BQ14" s="235"/>
      <c r="BR14" s="33" t="s">
        <v>38</v>
      </c>
      <c r="BS14" s="144"/>
      <c r="BT14" s="11"/>
      <c r="BU14" s="144"/>
      <c r="BV14" s="144"/>
      <c r="BW14" s="145"/>
      <c r="BX14" s="16"/>
      <c r="BY14" s="144"/>
      <c r="BZ14" s="145"/>
    </row>
    <row r="15" spans="1:78" ht="15.95" customHeight="1">
      <c r="A15" s="34"/>
      <c r="B15" s="22"/>
      <c r="C15" s="144"/>
      <c r="D15" s="35"/>
      <c r="E15" s="236" t="s">
        <v>39</v>
      </c>
      <c r="F15" s="237"/>
      <c r="G15" s="237"/>
      <c r="H15" s="238"/>
      <c r="I15" s="239" t="s">
        <v>40</v>
      </c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144"/>
      <c r="U15" s="221"/>
      <c r="V15" s="221"/>
      <c r="W15" s="144"/>
      <c r="X15" s="32"/>
      <c r="Y15" s="144"/>
      <c r="Z15" s="144"/>
      <c r="AA15" s="144"/>
      <c r="AB15" s="144"/>
      <c r="AC15" s="144"/>
      <c r="AD15" s="144"/>
      <c r="AE15" s="144"/>
      <c r="AF15" s="144"/>
      <c r="AG15" s="11"/>
      <c r="AH15" s="144"/>
      <c r="AI15" s="144"/>
      <c r="AJ15" s="145"/>
      <c r="AK15" s="16"/>
      <c r="AL15" s="144"/>
      <c r="AM15" s="145"/>
      <c r="AN15" s="34"/>
      <c r="AO15" s="22"/>
      <c r="AP15" s="144"/>
      <c r="AQ15" s="35"/>
      <c r="AR15" s="236" t="s">
        <v>39</v>
      </c>
      <c r="AS15" s="237"/>
      <c r="AT15" s="237"/>
      <c r="AU15" s="238"/>
      <c r="AV15" s="239" t="s">
        <v>40</v>
      </c>
      <c r="AW15" s="240"/>
      <c r="AX15" s="240"/>
      <c r="AY15" s="240"/>
      <c r="AZ15" s="240"/>
      <c r="BA15" s="240"/>
      <c r="BB15" s="240"/>
      <c r="BC15" s="240"/>
      <c r="BD15" s="240"/>
      <c r="BE15" s="240"/>
      <c r="BF15" s="241"/>
      <c r="BG15" s="144"/>
      <c r="BH15" s="206"/>
      <c r="BI15" s="206"/>
      <c r="BJ15" s="144"/>
      <c r="BK15" s="32"/>
      <c r="BL15" s="144"/>
      <c r="BM15" s="144"/>
      <c r="BN15" s="144"/>
      <c r="BO15" s="144"/>
      <c r="BP15" s="144"/>
      <c r="BQ15" s="144"/>
      <c r="BR15" s="144"/>
      <c r="BS15" s="144"/>
      <c r="BT15" s="11"/>
      <c r="BU15" s="144"/>
      <c r="BV15" s="144"/>
      <c r="BW15" s="145"/>
      <c r="BX15" s="16"/>
      <c r="BY15" s="144"/>
      <c r="BZ15" s="145"/>
    </row>
    <row r="16" spans="1:78" ht="15.95" customHeight="1">
      <c r="A16" s="36"/>
      <c r="B16" s="22"/>
      <c r="C16" s="144"/>
      <c r="D16" s="35"/>
      <c r="E16" s="262" t="s">
        <v>41</v>
      </c>
      <c r="F16" s="263"/>
      <c r="G16" s="262" t="s">
        <v>42</v>
      </c>
      <c r="H16" s="263"/>
      <c r="I16" s="249" t="s">
        <v>43</v>
      </c>
      <c r="J16" s="264"/>
      <c r="K16" s="250"/>
      <c r="L16" s="267" t="s">
        <v>44</v>
      </c>
      <c r="M16" s="268"/>
      <c r="N16" s="249" t="s">
        <v>45</v>
      </c>
      <c r="O16" s="250"/>
      <c r="P16" s="249" t="s">
        <v>46</v>
      </c>
      <c r="Q16" s="250"/>
      <c r="R16" s="260" t="s">
        <v>47</v>
      </c>
      <c r="S16" s="261"/>
      <c r="T16" s="37"/>
      <c r="U16" s="135"/>
      <c r="V16" s="135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1"/>
      <c r="AH16" s="144"/>
      <c r="AI16" s="144"/>
      <c r="AJ16" s="145"/>
      <c r="AK16" s="16"/>
      <c r="AL16" s="144"/>
      <c r="AM16" s="145"/>
      <c r="AN16" s="36"/>
      <c r="AO16" s="22"/>
      <c r="AP16" s="144"/>
      <c r="AQ16" s="35"/>
      <c r="AR16" s="262" t="s">
        <v>41</v>
      </c>
      <c r="AS16" s="263"/>
      <c r="AT16" s="262" t="s">
        <v>42</v>
      </c>
      <c r="AU16" s="263"/>
      <c r="AV16" s="249" t="s">
        <v>43</v>
      </c>
      <c r="AW16" s="264"/>
      <c r="AX16" s="250"/>
      <c r="AY16" s="265" t="s">
        <v>44</v>
      </c>
      <c r="AZ16" s="266"/>
      <c r="BA16" s="249" t="s">
        <v>45</v>
      </c>
      <c r="BB16" s="250"/>
      <c r="BC16" s="249" t="s">
        <v>46</v>
      </c>
      <c r="BD16" s="250"/>
      <c r="BE16" s="249" t="s">
        <v>47</v>
      </c>
      <c r="BF16" s="251"/>
      <c r="BG16" s="37"/>
      <c r="BH16" s="135"/>
      <c r="BI16" s="135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1"/>
      <c r="BU16" s="144"/>
      <c r="BV16" s="144"/>
      <c r="BW16" s="145"/>
      <c r="BX16" s="16"/>
      <c r="BY16" s="144"/>
      <c r="BZ16" s="145"/>
    </row>
    <row r="17" spans="1:80" ht="15.95" customHeight="1">
      <c r="A17" s="36"/>
      <c r="B17" s="22"/>
      <c r="C17" s="144"/>
      <c r="D17" s="35"/>
      <c r="E17" s="252" t="s">
        <v>48</v>
      </c>
      <c r="F17" s="253"/>
      <c r="G17" s="252" t="s">
        <v>49</v>
      </c>
      <c r="H17" s="253"/>
      <c r="I17" s="254" t="s">
        <v>50</v>
      </c>
      <c r="J17" s="255"/>
      <c r="K17" s="256"/>
      <c r="L17" s="254" t="s">
        <v>50</v>
      </c>
      <c r="M17" s="256"/>
      <c r="N17" s="252" t="s">
        <v>48</v>
      </c>
      <c r="O17" s="253"/>
      <c r="P17" s="257" t="s">
        <v>49</v>
      </c>
      <c r="Q17" s="258"/>
      <c r="R17" s="257" t="s">
        <v>50</v>
      </c>
      <c r="S17" s="259"/>
      <c r="T17" s="37"/>
      <c r="U17" s="144"/>
      <c r="V17" s="144"/>
      <c r="W17" s="38">
        <f>R18</f>
        <v>16</v>
      </c>
      <c r="X17" s="38" t="s">
        <v>51</v>
      </c>
      <c r="Y17" s="144"/>
      <c r="Z17" s="144"/>
      <c r="AA17" s="144"/>
      <c r="AB17" s="144"/>
      <c r="AC17" s="144"/>
      <c r="AD17" s="234">
        <f>P29</f>
        <v>4.6284770481702955</v>
      </c>
      <c r="AE17" s="234"/>
      <c r="AF17" s="234"/>
      <c r="AG17" s="11"/>
      <c r="AH17" s="144"/>
      <c r="AI17" s="144"/>
      <c r="AJ17" s="145"/>
      <c r="AK17" s="16"/>
      <c r="AL17" s="144"/>
      <c r="AM17" s="145"/>
      <c r="AN17" s="36"/>
      <c r="AO17" s="22"/>
      <c r="AP17" s="144"/>
      <c r="AQ17" s="35"/>
      <c r="AR17" s="252" t="s">
        <v>52</v>
      </c>
      <c r="AS17" s="253"/>
      <c r="AT17" s="252" t="s">
        <v>53</v>
      </c>
      <c r="AU17" s="253"/>
      <c r="AV17" s="39" t="s">
        <v>54</v>
      </c>
      <c r="AW17" s="284" t="s">
        <v>50</v>
      </c>
      <c r="AX17" s="285"/>
      <c r="AY17" s="40" t="s">
        <v>54</v>
      </c>
      <c r="AZ17" s="139" t="s">
        <v>50</v>
      </c>
      <c r="BA17" s="257" t="s">
        <v>52</v>
      </c>
      <c r="BB17" s="258"/>
      <c r="BC17" s="257" t="s">
        <v>53</v>
      </c>
      <c r="BD17" s="258"/>
      <c r="BE17" s="257" t="s">
        <v>50</v>
      </c>
      <c r="BF17" s="259"/>
      <c r="BG17" s="37"/>
      <c r="BH17" s="144"/>
      <c r="BI17" s="144"/>
      <c r="BJ17" s="38">
        <f>BE18</f>
        <v>16</v>
      </c>
      <c r="BK17" s="38" t="s">
        <v>51</v>
      </c>
      <c r="BL17" s="144"/>
      <c r="BM17" s="144"/>
      <c r="BN17" s="144"/>
      <c r="BO17" s="144"/>
      <c r="BP17" s="144"/>
      <c r="BQ17" s="235">
        <f>BC29</f>
        <v>1.4107598042823062</v>
      </c>
      <c r="BR17" s="235"/>
      <c r="BS17" s="235"/>
      <c r="BT17" s="11"/>
      <c r="BU17" s="144"/>
      <c r="BV17" s="144"/>
      <c r="BW17" s="145"/>
      <c r="BX17" s="16"/>
      <c r="BY17" s="144"/>
      <c r="BZ17" s="145"/>
    </row>
    <row r="18" spans="1:80" ht="15.95" customHeight="1">
      <c r="A18" s="36" t="s">
        <v>55</v>
      </c>
      <c r="B18" s="11" t="s">
        <v>56</v>
      </c>
      <c r="C18" s="144"/>
      <c r="D18" s="35"/>
      <c r="E18" s="269">
        <f>I56</f>
        <v>6705.6815410875406</v>
      </c>
      <c r="F18" s="270"/>
      <c r="G18" s="271" t="s">
        <v>33</v>
      </c>
      <c r="H18" s="272"/>
      <c r="I18" s="273">
        <f>AW18</f>
        <v>14.55034369056656</v>
      </c>
      <c r="J18" s="274"/>
      <c r="K18" s="275"/>
      <c r="L18" s="457">
        <v>16</v>
      </c>
      <c r="M18" s="458"/>
      <c r="N18" s="276">
        <f>BA18/0.4535924*0.3048</f>
        <v>4586.2317988120012</v>
      </c>
      <c r="O18" s="277"/>
      <c r="P18" s="278">
        <f>BC18/0.3048</f>
        <v>127.22456880611306</v>
      </c>
      <c r="Q18" s="279"/>
      <c r="R18" s="459">
        <v>16</v>
      </c>
      <c r="S18" s="460"/>
      <c r="T18" s="41"/>
      <c r="U18" s="144"/>
      <c r="V18" s="144"/>
      <c r="W18" s="14" t="s">
        <v>57</v>
      </c>
      <c r="X18" s="14"/>
      <c r="Y18" s="144"/>
      <c r="Z18" s="144"/>
      <c r="AA18" s="144"/>
      <c r="AB18" s="144"/>
      <c r="AC18" s="144"/>
      <c r="AD18" s="42" t="s">
        <v>58</v>
      </c>
      <c r="AE18" s="144"/>
      <c r="AF18" s="144"/>
      <c r="AG18" s="11"/>
      <c r="AH18" s="144"/>
      <c r="AI18" s="144"/>
      <c r="AJ18" s="145"/>
      <c r="AK18" s="16"/>
      <c r="AL18" s="144"/>
      <c r="AM18" s="145"/>
      <c r="AN18" s="36" t="s">
        <v>55</v>
      </c>
      <c r="AO18" s="11" t="s">
        <v>56</v>
      </c>
      <c r="AP18" s="144"/>
      <c r="AQ18" s="35"/>
      <c r="AR18" s="282">
        <f>E18*0.4535924/0.3048</f>
        <v>9979.1541465144219</v>
      </c>
      <c r="AS18" s="283"/>
      <c r="AT18" s="271" t="str">
        <f>G18</f>
        <v>-</v>
      </c>
      <c r="AU18" s="272"/>
      <c r="AV18" s="43">
        <f>(4/PI()*BD13/3600/((AR18/BD11)^0.5))^0.5*1000</f>
        <v>369.5787297403906</v>
      </c>
      <c r="AW18" s="286">
        <f>AV18/25.4</f>
        <v>14.55034369056656</v>
      </c>
      <c r="AX18" s="287"/>
      <c r="AY18" s="44">
        <f>AZ18*25.4</f>
        <v>406.4</v>
      </c>
      <c r="AZ18" s="45">
        <f>L18</f>
        <v>16</v>
      </c>
      <c r="BA18" s="276">
        <f>BD11*BC18^2</f>
        <v>6825.0652512449233</v>
      </c>
      <c r="BB18" s="277"/>
      <c r="BC18" s="278">
        <f>BD13/3600/(PI()*(AY18/1000)^2/4)</f>
        <v>38.778048572103259</v>
      </c>
      <c r="BD18" s="279"/>
      <c r="BE18" s="280">
        <f>R18</f>
        <v>16</v>
      </c>
      <c r="BF18" s="281"/>
      <c r="BG18" s="41"/>
      <c r="BH18" s="144"/>
      <c r="BI18" s="144"/>
      <c r="BJ18" s="14" t="s">
        <v>57</v>
      </c>
      <c r="BK18" s="14"/>
      <c r="BL18" s="144"/>
      <c r="BM18" s="144"/>
      <c r="BN18" s="144"/>
      <c r="BO18" s="144"/>
      <c r="BP18" s="144"/>
      <c r="BQ18" s="42" t="s">
        <v>58</v>
      </c>
      <c r="BR18" s="144"/>
      <c r="BS18" s="144"/>
      <c r="BT18" s="11"/>
      <c r="BU18" s="144"/>
      <c r="BV18" s="144"/>
      <c r="BW18" s="145"/>
      <c r="BX18" s="16"/>
      <c r="BY18" s="144"/>
      <c r="BZ18" s="145"/>
    </row>
    <row r="19" spans="1:80" ht="15.95" customHeight="1">
      <c r="A19" s="36" t="s">
        <v>55</v>
      </c>
      <c r="B19" s="11" t="s">
        <v>59</v>
      </c>
      <c r="C19" s="144"/>
      <c r="D19" s="35"/>
      <c r="E19" s="288">
        <v>2500</v>
      </c>
      <c r="F19" s="289"/>
      <c r="G19" s="290" t="s">
        <v>33</v>
      </c>
      <c r="H19" s="291"/>
      <c r="I19" s="292">
        <f>AW19</f>
        <v>19.024178933892319</v>
      </c>
      <c r="J19" s="293"/>
      <c r="K19" s="294"/>
      <c r="L19" s="461">
        <v>16</v>
      </c>
      <c r="M19" s="462"/>
      <c r="N19" s="295">
        <f>BA19/0.4535924*0.3048</f>
        <v>4996.7056500876815</v>
      </c>
      <c r="O19" s="296"/>
      <c r="P19" s="297">
        <f>BC19/0.3048</f>
        <v>127.21763851385758</v>
      </c>
      <c r="Q19" s="298"/>
      <c r="R19" s="459">
        <v>16</v>
      </c>
      <c r="S19" s="460"/>
      <c r="T19" s="41"/>
      <c r="U19" s="206"/>
      <c r="V19" s="206"/>
      <c r="W19" s="144"/>
      <c r="X19" s="144"/>
      <c r="Y19" s="144"/>
      <c r="Z19" s="144"/>
      <c r="AA19" s="46"/>
      <c r="AB19" s="144"/>
      <c r="AC19" s="47"/>
      <c r="AD19" s="144"/>
      <c r="AE19" s="144"/>
      <c r="AF19" s="144"/>
      <c r="AG19" s="11"/>
      <c r="AH19" s="48"/>
      <c r="AI19" s="48"/>
      <c r="AJ19" s="145"/>
      <c r="AK19" s="16"/>
      <c r="AL19" s="144"/>
      <c r="AM19" s="145"/>
      <c r="AN19" s="36" t="s">
        <v>55</v>
      </c>
      <c r="AO19" s="11" t="s">
        <v>59</v>
      </c>
      <c r="AP19" s="144"/>
      <c r="AQ19" s="35"/>
      <c r="AR19" s="320">
        <f>E19*0.4535924/0.3048</f>
        <v>3720.4101049868764</v>
      </c>
      <c r="AS19" s="321"/>
      <c r="AT19" s="290" t="str">
        <f>G19</f>
        <v>-</v>
      </c>
      <c r="AU19" s="291"/>
      <c r="AV19" s="43">
        <f>(4/PI()*AX13/3600/((AR19/AX11)^0.5))^0.5*1000</f>
        <v>483.2141449208649</v>
      </c>
      <c r="AW19" s="322">
        <f>AV19/25.4</f>
        <v>19.024178933892319</v>
      </c>
      <c r="AX19" s="323"/>
      <c r="AY19" s="44">
        <f>AZ19*25.4</f>
        <v>406.4</v>
      </c>
      <c r="AZ19" s="45">
        <f>L19</f>
        <v>16</v>
      </c>
      <c r="BA19" s="295">
        <f>AX11*BC19^2</f>
        <v>7435.9176768924917</v>
      </c>
      <c r="BB19" s="296"/>
      <c r="BC19" s="297">
        <f>AX13/3600/(PI()*(AY19/1000)^2/4)</f>
        <v>38.775936219023791</v>
      </c>
      <c r="BD19" s="298"/>
      <c r="BE19" s="308">
        <f>R19</f>
        <v>16</v>
      </c>
      <c r="BF19" s="309"/>
      <c r="BG19" s="41"/>
      <c r="BH19" s="206"/>
      <c r="BI19" s="206"/>
      <c r="BJ19" s="144"/>
      <c r="BK19" s="144"/>
      <c r="BL19" s="144"/>
      <c r="BM19" s="144"/>
      <c r="BN19" s="46"/>
      <c r="BO19" s="144"/>
      <c r="BP19" s="47"/>
      <c r="BQ19" s="144"/>
      <c r="BR19" s="144"/>
      <c r="BS19" s="144"/>
      <c r="BT19" s="11"/>
      <c r="BU19" s="48"/>
      <c r="BV19" s="48"/>
      <c r="BW19" s="145"/>
      <c r="BX19" s="16"/>
      <c r="BY19" s="144"/>
      <c r="BZ19" s="145"/>
    </row>
    <row r="20" spans="1:80" ht="15.95" customHeight="1" thickBot="1">
      <c r="A20" s="49" t="s">
        <v>55</v>
      </c>
      <c r="B20" s="26" t="s">
        <v>60</v>
      </c>
      <c r="C20" s="50"/>
      <c r="D20" s="51"/>
      <c r="E20" s="299" t="s">
        <v>33</v>
      </c>
      <c r="F20" s="300"/>
      <c r="G20" s="301">
        <f>I59</f>
        <v>3.9359999999999995</v>
      </c>
      <c r="H20" s="302"/>
      <c r="I20" s="303">
        <f>AW20</f>
        <v>0.67137971059710022</v>
      </c>
      <c r="J20" s="304"/>
      <c r="K20" s="305"/>
      <c r="L20" s="463">
        <v>3</v>
      </c>
      <c r="M20" s="464"/>
      <c r="N20" s="306" t="s">
        <v>33</v>
      </c>
      <c r="O20" s="307"/>
      <c r="P20" s="306">
        <f>BC20/0.3048</f>
        <v>0.19712831304383244</v>
      </c>
      <c r="Q20" s="307"/>
      <c r="R20" s="465">
        <v>3</v>
      </c>
      <c r="S20" s="466"/>
      <c r="T20" s="41"/>
      <c r="U20" s="206"/>
      <c r="V20" s="206"/>
      <c r="W20" s="144"/>
      <c r="X20" s="144"/>
      <c r="Y20" s="144"/>
      <c r="Z20" s="144"/>
      <c r="AA20" s="144"/>
      <c r="AB20" s="144"/>
      <c r="AC20" s="47"/>
      <c r="AD20" s="312" t="s">
        <v>61</v>
      </c>
      <c r="AE20" s="313"/>
      <c r="AF20" s="313"/>
      <c r="AG20" s="314"/>
      <c r="AH20" s="324">
        <f>P33</f>
        <v>10.583333333333334</v>
      </c>
      <c r="AI20" s="325"/>
      <c r="AJ20" s="326"/>
      <c r="AK20" s="16"/>
      <c r="AL20" s="144"/>
      <c r="AM20" s="145"/>
      <c r="AN20" s="49" t="s">
        <v>55</v>
      </c>
      <c r="AO20" s="26" t="s">
        <v>60</v>
      </c>
      <c r="AP20" s="50"/>
      <c r="AQ20" s="51"/>
      <c r="AR20" s="299" t="str">
        <f>E20</f>
        <v>-</v>
      </c>
      <c r="AS20" s="300"/>
      <c r="AT20" s="327">
        <f>G20*0.3048</f>
        <v>1.1996928</v>
      </c>
      <c r="AU20" s="328"/>
      <c r="AV20" s="52">
        <f>(4/PI()*(BA13/3600/AT20))^0.5*1000</f>
        <v>17.053044649166345</v>
      </c>
      <c r="AW20" s="329">
        <f>AV20/25.4</f>
        <v>0.67137971059710022</v>
      </c>
      <c r="AX20" s="330"/>
      <c r="AY20" s="44">
        <f>AZ20*25.4</f>
        <v>76.199999999999989</v>
      </c>
      <c r="AZ20" s="53">
        <f>L20</f>
        <v>3</v>
      </c>
      <c r="BA20" s="306" t="s">
        <v>33</v>
      </c>
      <c r="BB20" s="307"/>
      <c r="BC20" s="306">
        <f>BA13/3600/(PI()*(AY20/1000)^2/4)</f>
        <v>6.0084709815760133E-2</v>
      </c>
      <c r="BD20" s="307"/>
      <c r="BE20" s="310">
        <f>R20</f>
        <v>3</v>
      </c>
      <c r="BF20" s="311"/>
      <c r="BG20" s="41"/>
      <c r="BH20" s="206"/>
      <c r="BI20" s="206"/>
      <c r="BJ20" s="144"/>
      <c r="BK20" s="144"/>
      <c r="BL20" s="144"/>
      <c r="BM20" s="144"/>
      <c r="BN20" s="144"/>
      <c r="BO20" s="144"/>
      <c r="BP20" s="47"/>
      <c r="BQ20" s="312" t="s">
        <v>61</v>
      </c>
      <c r="BR20" s="313"/>
      <c r="BS20" s="313"/>
      <c r="BT20" s="314"/>
      <c r="BU20" s="315">
        <f>BC33</f>
        <v>3225.8000000000006</v>
      </c>
      <c r="BV20" s="206"/>
      <c r="BW20" s="145"/>
      <c r="BX20" s="16"/>
      <c r="BY20" s="144"/>
      <c r="BZ20" s="145"/>
    </row>
    <row r="21" spans="1:80" ht="15.95" customHeight="1">
      <c r="A21" s="30" t="s">
        <v>62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8"/>
      <c r="L21" s="146"/>
      <c r="M21" s="146"/>
      <c r="N21" s="146"/>
      <c r="O21" s="146"/>
      <c r="P21" s="146"/>
      <c r="Q21" s="146"/>
      <c r="R21" s="146"/>
      <c r="S21" s="147"/>
      <c r="T21" s="144"/>
      <c r="U21" s="144"/>
      <c r="V21" s="135"/>
      <c r="W21" s="144"/>
      <c r="X21" s="144"/>
      <c r="Y21" s="144"/>
      <c r="Z21" s="46" t="s">
        <v>63</v>
      </c>
      <c r="AA21" s="144"/>
      <c r="AB21" s="54">
        <f>R39</f>
        <v>36</v>
      </c>
      <c r="AC21" s="47"/>
      <c r="AD21" s="316" t="s">
        <v>64</v>
      </c>
      <c r="AE21" s="317"/>
      <c r="AF21" s="318" t="s">
        <v>65</v>
      </c>
      <c r="AG21" s="319"/>
      <c r="AH21" s="144"/>
      <c r="AI21" s="144"/>
      <c r="AJ21" s="55"/>
      <c r="AK21" s="16"/>
      <c r="AL21" s="144"/>
      <c r="AM21" s="145"/>
      <c r="AN21" s="30" t="s">
        <v>62</v>
      </c>
      <c r="AO21" s="142"/>
      <c r="AP21" s="142"/>
      <c r="AQ21" s="142"/>
      <c r="AR21" s="142"/>
      <c r="AS21" s="142"/>
      <c r="AT21" s="142"/>
      <c r="AU21" s="142"/>
      <c r="AV21" s="142"/>
      <c r="AW21" s="142"/>
      <c r="AX21" s="148"/>
      <c r="AY21" s="146"/>
      <c r="AZ21" s="146"/>
      <c r="BA21" s="146"/>
      <c r="BB21" s="146"/>
      <c r="BC21" s="146"/>
      <c r="BD21" s="146"/>
      <c r="BE21" s="146"/>
      <c r="BF21" s="147"/>
      <c r="BG21" s="144"/>
      <c r="BH21" s="144"/>
      <c r="BI21" s="135"/>
      <c r="BJ21" s="144"/>
      <c r="BK21" s="144"/>
      <c r="BL21" s="144"/>
      <c r="BM21" s="46" t="s">
        <v>63</v>
      </c>
      <c r="BN21" s="144"/>
      <c r="BO21" s="47">
        <f>IF(BC39&gt;10,BE39,"")</f>
        <v>914.4</v>
      </c>
      <c r="BP21" s="47"/>
      <c r="BQ21" s="316" t="s">
        <v>66</v>
      </c>
      <c r="BR21" s="317"/>
      <c r="BS21" s="318" t="s">
        <v>65</v>
      </c>
      <c r="BT21" s="319"/>
      <c r="BU21" s="144"/>
      <c r="BV21" s="144"/>
      <c r="BW21" s="55"/>
      <c r="BX21" s="16"/>
      <c r="BY21" s="144"/>
      <c r="BZ21" s="145"/>
    </row>
    <row r="22" spans="1:80" ht="15.95" customHeight="1">
      <c r="A22" s="34"/>
      <c r="B22" s="144"/>
      <c r="C22" s="144"/>
      <c r="D22" s="144"/>
      <c r="E22" s="144"/>
      <c r="F22" s="144"/>
      <c r="G22" s="144"/>
      <c r="H22" s="144"/>
      <c r="I22" s="144"/>
      <c r="J22" s="144"/>
      <c r="K22" s="56"/>
      <c r="L22" s="331" t="s">
        <v>67</v>
      </c>
      <c r="M22" s="331"/>
      <c r="N22" s="331"/>
      <c r="O22" s="331"/>
      <c r="P22" s="332" t="s">
        <v>68</v>
      </c>
      <c r="Q22" s="332"/>
      <c r="R22" s="332"/>
      <c r="S22" s="333"/>
      <c r="T22" s="144"/>
      <c r="U22" s="144"/>
      <c r="V22" s="135"/>
      <c r="W22" s="144"/>
      <c r="X22" s="144"/>
      <c r="Y22" s="144"/>
      <c r="Z22" s="46" t="s">
        <v>69</v>
      </c>
      <c r="AA22" s="57"/>
      <c r="AB22" s="54">
        <f>R40</f>
        <v>30</v>
      </c>
      <c r="AC22" s="47"/>
      <c r="AD22" s="334">
        <f>BQ22/0.3048^3</f>
        <v>25.132741228718338</v>
      </c>
      <c r="AE22" s="335"/>
      <c r="AF22" s="336">
        <f>BS22</f>
        <v>43.288217717542707</v>
      </c>
      <c r="AG22" s="337"/>
      <c r="AH22" s="144"/>
      <c r="AI22" s="144"/>
      <c r="AJ22" s="55"/>
      <c r="AK22" s="16"/>
      <c r="AL22" s="144"/>
      <c r="AM22" s="145"/>
      <c r="AN22" s="34"/>
      <c r="AO22" s="144"/>
      <c r="AP22" s="144"/>
      <c r="AQ22" s="144"/>
      <c r="AR22" s="144"/>
      <c r="AS22" s="144"/>
      <c r="AT22" s="144"/>
      <c r="AU22" s="144"/>
      <c r="AV22" s="144"/>
      <c r="AW22" s="144"/>
      <c r="AX22" s="56"/>
      <c r="AY22" s="331" t="s">
        <v>67</v>
      </c>
      <c r="AZ22" s="331"/>
      <c r="BA22" s="331"/>
      <c r="BB22" s="331"/>
      <c r="BC22" s="332" t="s">
        <v>68</v>
      </c>
      <c r="BD22" s="332"/>
      <c r="BE22" s="332"/>
      <c r="BF22" s="333"/>
      <c r="BG22" s="144"/>
      <c r="BH22" s="144"/>
      <c r="BI22" s="135"/>
      <c r="BJ22" s="144"/>
      <c r="BK22" s="144"/>
      <c r="BL22" s="144"/>
      <c r="BM22" s="46" t="s">
        <v>69</v>
      </c>
      <c r="BN22" s="57"/>
      <c r="BO22" s="47">
        <f>BE40</f>
        <v>762</v>
      </c>
      <c r="BP22" s="47"/>
      <c r="BQ22" s="334">
        <f>(BO21-BO22)/1000*(BC27/1000)^2*PI()/4</f>
        <v>0.71167997781005088</v>
      </c>
      <c r="BR22" s="335"/>
      <c r="BS22" s="336">
        <f>BQ22/BA13*60</f>
        <v>43.288217717542707</v>
      </c>
      <c r="BT22" s="337"/>
      <c r="BU22" s="144"/>
      <c r="BV22" s="144"/>
      <c r="BW22" s="55"/>
      <c r="BX22" s="16"/>
      <c r="BY22" s="144"/>
      <c r="BZ22" s="145"/>
    </row>
    <row r="23" spans="1:80" ht="15.95" customHeight="1">
      <c r="A23" s="34"/>
      <c r="B23" s="11" t="s">
        <v>70</v>
      </c>
      <c r="C23" s="144"/>
      <c r="D23" s="144"/>
      <c r="E23" s="144"/>
      <c r="F23" s="144"/>
      <c r="G23" s="144"/>
      <c r="H23" s="144"/>
      <c r="I23" s="144"/>
      <c r="J23" s="338" t="s">
        <v>71</v>
      </c>
      <c r="K23" s="339" t="s">
        <v>72</v>
      </c>
      <c r="L23" s="340" t="s">
        <v>73</v>
      </c>
      <c r="M23" s="340"/>
      <c r="N23" s="340"/>
      <c r="O23" s="340"/>
      <c r="P23" s="341">
        <v>0.35</v>
      </c>
      <c r="Q23" s="341"/>
      <c r="R23" s="341"/>
      <c r="S23" s="342"/>
      <c r="T23" s="144"/>
      <c r="U23" s="144"/>
      <c r="V23" s="144"/>
      <c r="W23" s="144"/>
      <c r="X23" s="144"/>
      <c r="Y23" s="144"/>
      <c r="Z23" s="46"/>
      <c r="AA23" s="58"/>
      <c r="AB23" s="59"/>
      <c r="AC23" s="47"/>
      <c r="AD23" s="343"/>
      <c r="AE23" s="344"/>
      <c r="AF23" s="345"/>
      <c r="AG23" s="346"/>
      <c r="AH23" s="144"/>
      <c r="AI23" s="144"/>
      <c r="AJ23" s="55"/>
      <c r="AK23" s="16"/>
      <c r="AL23" s="144"/>
      <c r="AM23" s="145"/>
      <c r="AN23" s="34"/>
      <c r="AO23" s="11" t="s">
        <v>70</v>
      </c>
      <c r="AP23" s="144"/>
      <c r="AQ23" s="144"/>
      <c r="AR23" s="144"/>
      <c r="AS23" s="144"/>
      <c r="AT23" s="144"/>
      <c r="AU23" s="144"/>
      <c r="AV23" s="144"/>
      <c r="AW23" s="338" t="s">
        <v>72</v>
      </c>
      <c r="AX23" s="339" t="s">
        <v>72</v>
      </c>
      <c r="AY23" s="347" t="s">
        <v>74</v>
      </c>
      <c r="AZ23" s="347"/>
      <c r="BA23" s="347"/>
      <c r="BB23" s="347"/>
      <c r="BC23" s="348">
        <f>P23*0.3048</f>
        <v>0.10668</v>
      </c>
      <c r="BD23" s="348"/>
      <c r="BE23" s="348"/>
      <c r="BF23" s="349"/>
      <c r="BG23" s="144"/>
      <c r="BH23" s="144"/>
      <c r="BI23" s="144"/>
      <c r="BJ23" s="144"/>
      <c r="BK23" s="144"/>
      <c r="BL23" s="144"/>
      <c r="BM23" s="46"/>
      <c r="BN23" s="58"/>
      <c r="BO23" s="60"/>
      <c r="BP23" s="47"/>
      <c r="BQ23" s="343"/>
      <c r="BR23" s="344"/>
      <c r="BS23" s="345"/>
      <c r="BT23" s="346"/>
      <c r="BU23" s="144"/>
      <c r="BV23" s="144"/>
      <c r="BW23" s="55"/>
      <c r="BX23" s="16"/>
      <c r="BY23" s="144"/>
      <c r="BZ23" s="145"/>
      <c r="CB23" s="1" t="s">
        <v>75</v>
      </c>
    </row>
    <row r="24" spans="1:80" ht="16.5" customHeight="1">
      <c r="A24" s="17"/>
      <c r="B24" s="61" t="s">
        <v>76</v>
      </c>
      <c r="C24" s="23"/>
      <c r="D24" s="23"/>
      <c r="E24" s="23"/>
      <c r="F24" s="23"/>
      <c r="G24" s="23"/>
      <c r="H24" s="23"/>
      <c r="I24" s="23"/>
      <c r="J24" s="338" t="s">
        <v>71</v>
      </c>
      <c r="K24" s="339" t="s">
        <v>72</v>
      </c>
      <c r="L24" s="340" t="s">
        <v>33</v>
      </c>
      <c r="M24" s="340"/>
      <c r="N24" s="340"/>
      <c r="O24" s="340"/>
      <c r="P24" s="340">
        <f>P23</f>
        <v>0.35</v>
      </c>
      <c r="Q24" s="340"/>
      <c r="R24" s="340"/>
      <c r="S24" s="361"/>
      <c r="T24" s="144"/>
      <c r="U24" s="221">
        <f>P33*12-SUM(U10:V15)</f>
        <v>58</v>
      </c>
      <c r="V24" s="221"/>
      <c r="W24" s="144"/>
      <c r="X24" s="144"/>
      <c r="Y24" s="144"/>
      <c r="Z24" s="144"/>
      <c r="AA24" s="11"/>
      <c r="AB24" s="59"/>
      <c r="AC24" s="47"/>
      <c r="AD24" s="343"/>
      <c r="AE24" s="344"/>
      <c r="AF24" s="345"/>
      <c r="AG24" s="346"/>
      <c r="AH24" s="144"/>
      <c r="AI24" s="144"/>
      <c r="AJ24" s="62"/>
      <c r="AK24" s="16"/>
      <c r="AL24" s="144"/>
      <c r="AM24" s="145"/>
      <c r="AN24" s="17"/>
      <c r="AO24" s="61" t="s">
        <v>76</v>
      </c>
      <c r="AP24" s="23"/>
      <c r="AQ24" s="23"/>
      <c r="AR24" s="23"/>
      <c r="AS24" s="23"/>
      <c r="AT24" s="23"/>
      <c r="AU24" s="23"/>
      <c r="AV24" s="23"/>
      <c r="AW24" s="338" t="s">
        <v>72</v>
      </c>
      <c r="AX24" s="339" t="s">
        <v>72</v>
      </c>
      <c r="AY24" s="347" t="s">
        <v>33</v>
      </c>
      <c r="AZ24" s="347"/>
      <c r="BA24" s="347"/>
      <c r="BB24" s="347"/>
      <c r="BC24" s="347">
        <f>BC23</f>
        <v>0.10668</v>
      </c>
      <c r="BD24" s="347"/>
      <c r="BE24" s="347"/>
      <c r="BF24" s="362"/>
      <c r="BG24" s="144"/>
      <c r="BH24" s="206">
        <f>BC33-SUM(BH10:BI15)</f>
        <v>1473.2000000000007</v>
      </c>
      <c r="BI24" s="350"/>
      <c r="BJ24" s="144"/>
      <c r="BK24" s="144"/>
      <c r="BL24" s="144"/>
      <c r="BM24" s="144"/>
      <c r="BN24" s="11"/>
      <c r="BO24" s="60"/>
      <c r="BP24" s="47"/>
      <c r="BQ24" s="343"/>
      <c r="BR24" s="344"/>
      <c r="BS24" s="345"/>
      <c r="BT24" s="346"/>
      <c r="BU24" s="144"/>
      <c r="BV24" s="144"/>
      <c r="BW24" s="62"/>
      <c r="BX24" s="16"/>
      <c r="BY24" s="144"/>
      <c r="BZ24" s="145"/>
    </row>
    <row r="25" spans="1:80" ht="15.95" customHeight="1">
      <c r="A25" s="63"/>
      <c r="B25" s="61" t="s">
        <v>77</v>
      </c>
      <c r="C25" s="23"/>
      <c r="D25" s="23"/>
      <c r="E25" s="23"/>
      <c r="F25" s="23"/>
      <c r="G25" s="23"/>
      <c r="H25" s="23"/>
      <c r="I25" s="23"/>
      <c r="J25" s="338" t="s">
        <v>32</v>
      </c>
      <c r="K25" s="339" t="s">
        <v>78</v>
      </c>
      <c r="L25" s="351" t="s">
        <v>79</v>
      </c>
      <c r="M25" s="352"/>
      <c r="N25" s="352"/>
      <c r="O25" s="353"/>
      <c r="P25" s="354">
        <v>10</v>
      </c>
      <c r="Q25" s="354"/>
      <c r="R25" s="354"/>
      <c r="S25" s="355"/>
      <c r="T25" s="144"/>
      <c r="U25" s="144"/>
      <c r="V25" s="135"/>
      <c r="W25" s="144"/>
      <c r="X25" s="144"/>
      <c r="Y25" s="144"/>
      <c r="Z25" s="46" t="s">
        <v>80</v>
      </c>
      <c r="AA25" s="57"/>
      <c r="AB25" s="54">
        <f>R41+P40/2</f>
        <v>24</v>
      </c>
      <c r="AC25" s="64"/>
      <c r="AD25" s="334">
        <f>BQ25/0.3048^3</f>
        <v>50.265482457436676</v>
      </c>
      <c r="AE25" s="335"/>
      <c r="AF25" s="336">
        <f>BS25</f>
        <v>86.576435435085415</v>
      </c>
      <c r="AG25" s="337"/>
      <c r="AH25" s="144"/>
      <c r="AI25" s="144"/>
      <c r="AJ25" s="145"/>
      <c r="AK25" s="16"/>
      <c r="AL25" s="144"/>
      <c r="AM25" s="145"/>
      <c r="AN25" s="63"/>
      <c r="AO25" s="61" t="s">
        <v>77</v>
      </c>
      <c r="AP25" s="23"/>
      <c r="AQ25" s="23"/>
      <c r="AR25" s="23"/>
      <c r="AS25" s="23"/>
      <c r="AT25" s="23"/>
      <c r="AU25" s="23"/>
      <c r="AV25" s="23"/>
      <c r="AW25" s="338" t="s">
        <v>32</v>
      </c>
      <c r="AX25" s="339" t="s">
        <v>78</v>
      </c>
      <c r="AY25" s="356" t="s">
        <v>79</v>
      </c>
      <c r="AZ25" s="357"/>
      <c r="BA25" s="357"/>
      <c r="BB25" s="358"/>
      <c r="BC25" s="359">
        <f>P25</f>
        <v>10</v>
      </c>
      <c r="BD25" s="359"/>
      <c r="BE25" s="359"/>
      <c r="BF25" s="360"/>
      <c r="BG25" s="144"/>
      <c r="BH25" s="144"/>
      <c r="BI25" s="135"/>
      <c r="BJ25" s="144"/>
      <c r="BK25" s="144"/>
      <c r="BL25" s="144"/>
      <c r="BM25" s="144"/>
      <c r="BN25" s="65"/>
      <c r="BO25" s="47"/>
      <c r="BP25" s="64"/>
      <c r="BQ25" s="334">
        <f>(BO22-BO28)/1000*(BC27/1000)^2*PI()/4</f>
        <v>1.4233599556201018</v>
      </c>
      <c r="BR25" s="335"/>
      <c r="BS25" s="336">
        <f>BQ25/BA13*60</f>
        <v>86.576435435085415</v>
      </c>
      <c r="BT25" s="337"/>
      <c r="BU25" s="144"/>
      <c r="BV25" s="144"/>
      <c r="BW25" s="145"/>
      <c r="BX25" s="16"/>
      <c r="BY25" s="144"/>
      <c r="BZ25" s="145"/>
    </row>
    <row r="26" spans="1:80" ht="15.95" customHeight="1">
      <c r="A26" s="17"/>
      <c r="B26" s="23" t="s">
        <v>81</v>
      </c>
      <c r="C26" s="23"/>
      <c r="D26" s="23"/>
      <c r="E26" s="23"/>
      <c r="F26" s="23"/>
      <c r="G26" s="23"/>
      <c r="H26" s="23"/>
      <c r="I26" s="23"/>
      <c r="J26" s="338" t="s">
        <v>82</v>
      </c>
      <c r="K26" s="339" t="s">
        <v>83</v>
      </c>
      <c r="L26" s="372">
        <f>AY26/1000/0.3048</f>
        <v>6.990260237507175</v>
      </c>
      <c r="M26" s="373"/>
      <c r="N26" s="373"/>
      <c r="O26" s="374"/>
      <c r="P26" s="373">
        <v>6.63</v>
      </c>
      <c r="Q26" s="373"/>
      <c r="R26" s="373"/>
      <c r="S26" s="381"/>
      <c r="T26" s="144"/>
      <c r="U26" s="144"/>
      <c r="V26" s="135"/>
      <c r="W26" s="144"/>
      <c r="X26" s="144"/>
      <c r="Y26" s="144"/>
      <c r="Z26" s="144"/>
      <c r="AA26" s="11"/>
      <c r="AB26" s="54"/>
      <c r="AC26" s="64"/>
      <c r="AD26" s="334"/>
      <c r="AE26" s="335"/>
      <c r="AF26" s="336"/>
      <c r="AG26" s="337"/>
      <c r="AH26" s="144"/>
      <c r="AI26" s="144"/>
      <c r="AJ26" s="145"/>
      <c r="AK26" s="16"/>
      <c r="AL26" s="144"/>
      <c r="AM26" s="145"/>
      <c r="AN26" s="17"/>
      <c r="AO26" s="23" t="s">
        <v>81</v>
      </c>
      <c r="AP26" s="23"/>
      <c r="AQ26" s="23"/>
      <c r="AR26" s="23"/>
      <c r="AS26" s="23"/>
      <c r="AT26" s="23"/>
      <c r="AU26" s="23"/>
      <c r="AV26" s="23"/>
      <c r="AW26" s="338" t="s">
        <v>84</v>
      </c>
      <c r="AX26" s="339" t="s">
        <v>83</v>
      </c>
      <c r="AY26" s="376">
        <f>(((AX13/3600/(BC24*((BA11-AX11)/AX11)^0.5)/(PI()/4))^0.5)*1000)</f>
        <v>2130.6313203921873</v>
      </c>
      <c r="AZ26" s="377"/>
      <c r="BA26" s="377"/>
      <c r="BB26" s="378"/>
      <c r="BC26" s="373" t="s">
        <v>33</v>
      </c>
      <c r="BD26" s="373"/>
      <c r="BE26" s="373"/>
      <c r="BF26" s="381"/>
      <c r="BG26" s="144"/>
      <c r="BH26" s="144"/>
      <c r="BI26" s="135"/>
      <c r="BJ26" s="144"/>
      <c r="BK26" s="144"/>
      <c r="BL26" s="144"/>
      <c r="BM26" s="144"/>
      <c r="BN26" s="11"/>
      <c r="BO26" s="47"/>
      <c r="BP26" s="64"/>
      <c r="BQ26" s="334"/>
      <c r="BR26" s="335"/>
      <c r="BS26" s="336"/>
      <c r="BT26" s="337"/>
      <c r="BU26" s="144"/>
      <c r="BV26" s="144"/>
      <c r="BW26" s="145"/>
      <c r="BX26" s="16"/>
      <c r="BY26" s="144"/>
      <c r="BZ26" s="145"/>
    </row>
    <row r="27" spans="1:80" ht="17.25" customHeight="1">
      <c r="A27" s="17"/>
      <c r="B27" s="11" t="s">
        <v>85</v>
      </c>
      <c r="C27" s="144"/>
      <c r="D27" s="144"/>
      <c r="E27" s="144"/>
      <c r="F27" s="144"/>
      <c r="G27" s="144"/>
      <c r="H27" s="144"/>
      <c r="I27" s="144"/>
      <c r="J27" s="338" t="s">
        <v>82</v>
      </c>
      <c r="K27" s="339" t="s">
        <v>83</v>
      </c>
      <c r="L27" s="372">
        <f>AY27/1000/0.3048</f>
        <v>7.6892862612578945</v>
      </c>
      <c r="M27" s="373"/>
      <c r="N27" s="373"/>
      <c r="O27" s="374"/>
      <c r="P27" s="369">
        <v>8</v>
      </c>
      <c r="Q27" s="370"/>
      <c r="R27" s="370"/>
      <c r="S27" s="371"/>
      <c r="T27" s="144"/>
      <c r="U27" s="375"/>
      <c r="V27" s="375"/>
      <c r="W27" s="144"/>
      <c r="X27" s="144"/>
      <c r="Y27" s="144"/>
      <c r="Z27" s="144"/>
      <c r="AA27" s="58"/>
      <c r="AB27" s="59"/>
      <c r="AC27" s="32"/>
      <c r="AD27" s="334"/>
      <c r="AE27" s="335"/>
      <c r="AF27" s="336"/>
      <c r="AG27" s="337"/>
      <c r="AH27" s="144"/>
      <c r="AI27" s="144"/>
      <c r="AJ27" s="145"/>
      <c r="AK27" s="16"/>
      <c r="AL27" s="144"/>
      <c r="AM27" s="145"/>
      <c r="AN27" s="17"/>
      <c r="AO27" s="11" t="s">
        <v>85</v>
      </c>
      <c r="AP27" s="144"/>
      <c r="AQ27" s="144"/>
      <c r="AR27" s="144"/>
      <c r="AS27" s="144"/>
      <c r="AT27" s="144"/>
      <c r="AU27" s="144"/>
      <c r="AV27" s="144"/>
      <c r="AW27" s="338" t="s">
        <v>84</v>
      </c>
      <c r="AX27" s="339" t="s">
        <v>83</v>
      </c>
      <c r="AY27" s="376">
        <f>(((AX13/3600/(BC24*((BA11-AX11)/AX11)^0.5)/(PI()/4))^0.5)*1000)*(BC25/100+1)</f>
        <v>2343.6944524314063</v>
      </c>
      <c r="AZ27" s="377"/>
      <c r="BA27" s="377"/>
      <c r="BB27" s="378"/>
      <c r="BC27" s="379">
        <f>P27*0.3048*1000</f>
        <v>2438.4</v>
      </c>
      <c r="BD27" s="379"/>
      <c r="BE27" s="379"/>
      <c r="BF27" s="380"/>
      <c r="BG27" s="144"/>
      <c r="BH27" s="375"/>
      <c r="BI27" s="375"/>
      <c r="BJ27" s="144"/>
      <c r="BK27" s="144"/>
      <c r="BL27" s="144"/>
      <c r="BM27" s="144"/>
      <c r="BN27" s="58"/>
      <c r="BO27" s="60"/>
      <c r="BP27" s="32"/>
      <c r="BQ27" s="334"/>
      <c r="BR27" s="335"/>
      <c r="BS27" s="336"/>
      <c r="BT27" s="337"/>
      <c r="BU27" s="144"/>
      <c r="BV27" s="144"/>
      <c r="BW27" s="145"/>
      <c r="BX27" s="16"/>
      <c r="BY27" s="144"/>
      <c r="BZ27" s="145"/>
    </row>
    <row r="28" spans="1:80" ht="17.25" customHeight="1">
      <c r="A28" s="17"/>
      <c r="B28" s="144" t="s">
        <v>86</v>
      </c>
      <c r="C28" s="144"/>
      <c r="D28" s="144"/>
      <c r="E28" s="144"/>
      <c r="F28" s="144"/>
      <c r="G28" s="144"/>
      <c r="H28" s="144"/>
      <c r="I28" s="144"/>
      <c r="J28" s="338" t="s">
        <v>71</v>
      </c>
      <c r="K28" s="339" t="s">
        <v>87</v>
      </c>
      <c r="L28" s="363">
        <f>AY28/0.3048</f>
        <v>3.8251876431159464</v>
      </c>
      <c r="M28" s="363"/>
      <c r="N28" s="363"/>
      <c r="O28" s="363"/>
      <c r="P28" s="363">
        <f>BC28/0.3048</f>
        <v>3.5338232920515993</v>
      </c>
      <c r="Q28" s="363"/>
      <c r="R28" s="363"/>
      <c r="S28" s="364"/>
      <c r="T28" s="144"/>
      <c r="U28" s="144"/>
      <c r="V28" s="144"/>
      <c r="W28" s="144"/>
      <c r="X28" s="144"/>
      <c r="Y28" s="144"/>
      <c r="Z28" s="46" t="s">
        <v>88</v>
      </c>
      <c r="AA28" s="144"/>
      <c r="AB28" s="54">
        <f>R41</f>
        <v>18</v>
      </c>
      <c r="AC28" s="144"/>
      <c r="AD28" s="365"/>
      <c r="AE28" s="366"/>
      <c r="AF28" s="367"/>
      <c r="AG28" s="368"/>
      <c r="AH28" s="144"/>
      <c r="AI28" s="144"/>
      <c r="AJ28" s="145"/>
      <c r="AK28" s="16"/>
      <c r="AL28" s="144"/>
      <c r="AM28" s="145"/>
      <c r="AN28" s="17"/>
      <c r="AO28" s="144" t="s">
        <v>86</v>
      </c>
      <c r="AP28" s="144"/>
      <c r="AQ28" s="144"/>
      <c r="AR28" s="144"/>
      <c r="AS28" s="144"/>
      <c r="AT28" s="144"/>
      <c r="AU28" s="144"/>
      <c r="AV28" s="144"/>
      <c r="AW28" s="338" t="s">
        <v>72</v>
      </c>
      <c r="AX28" s="339" t="s">
        <v>87</v>
      </c>
      <c r="AY28" s="363">
        <f>AX13/(PI()/4*(AY27/1000)^2*3600)</f>
        <v>1.1659171936217405</v>
      </c>
      <c r="AZ28" s="363"/>
      <c r="BA28" s="363"/>
      <c r="BB28" s="363"/>
      <c r="BC28" s="363">
        <f>AX13/(PI()/4*(BC27/1000)^2*3600)</f>
        <v>1.0771093394173274</v>
      </c>
      <c r="BD28" s="363"/>
      <c r="BE28" s="363"/>
      <c r="BF28" s="364"/>
      <c r="BG28" s="144"/>
      <c r="BH28" s="144"/>
      <c r="BI28" s="144"/>
      <c r="BJ28" s="144"/>
      <c r="BK28" s="144"/>
      <c r="BL28" s="144"/>
      <c r="BM28" s="46" t="s">
        <v>88</v>
      </c>
      <c r="BN28" s="144"/>
      <c r="BO28" s="47">
        <f>BE41</f>
        <v>457.20000000000005</v>
      </c>
      <c r="BP28" s="144"/>
      <c r="BQ28" s="365"/>
      <c r="BR28" s="366"/>
      <c r="BS28" s="367"/>
      <c r="BT28" s="368"/>
      <c r="BU28" s="144"/>
      <c r="BV28" s="144"/>
      <c r="BW28" s="145"/>
      <c r="BX28" s="16"/>
      <c r="BY28" s="144"/>
      <c r="BZ28" s="145"/>
    </row>
    <row r="29" spans="1:80" ht="15.95" customHeight="1">
      <c r="A29" s="17"/>
      <c r="B29" s="11" t="s">
        <v>89</v>
      </c>
      <c r="C29" s="144"/>
      <c r="D29" s="144"/>
      <c r="E29" s="144"/>
      <c r="F29" s="144"/>
      <c r="G29" s="144"/>
      <c r="H29" s="144"/>
      <c r="I29" s="144"/>
      <c r="J29" s="338" t="s">
        <v>71</v>
      </c>
      <c r="K29" s="339" t="s">
        <v>87</v>
      </c>
      <c r="L29" s="363">
        <f>AY29/0.3048</f>
        <v>4.6284770481702955</v>
      </c>
      <c r="M29" s="363"/>
      <c r="N29" s="363"/>
      <c r="O29" s="363"/>
      <c r="P29" s="363">
        <f>BC29/0.3048</f>
        <v>4.6284770481702955</v>
      </c>
      <c r="Q29" s="363"/>
      <c r="R29" s="363"/>
      <c r="S29" s="364"/>
      <c r="T29" s="144"/>
      <c r="U29" s="392"/>
      <c r="V29" s="392"/>
      <c r="W29" s="144"/>
      <c r="X29" s="144"/>
      <c r="Y29" s="144"/>
      <c r="Z29" s="46" t="s">
        <v>90</v>
      </c>
      <c r="AA29" s="144"/>
      <c r="AB29" s="54">
        <f>R42</f>
        <v>12</v>
      </c>
      <c r="AC29" s="144"/>
      <c r="AD29" s="334">
        <f>BQ29/0.3048^3</f>
        <v>25.132741228718345</v>
      </c>
      <c r="AE29" s="335"/>
      <c r="AF29" s="336">
        <f>BS29</f>
        <v>43.288217717542722</v>
      </c>
      <c r="AG29" s="337"/>
      <c r="AH29" s="144"/>
      <c r="AI29" s="144"/>
      <c r="AJ29" s="145"/>
      <c r="AK29" s="16"/>
      <c r="AL29" s="144"/>
      <c r="AM29" s="145"/>
      <c r="AN29" s="17"/>
      <c r="AO29" s="11" t="s">
        <v>89</v>
      </c>
      <c r="AP29" s="144"/>
      <c r="AQ29" s="144"/>
      <c r="AR29" s="144"/>
      <c r="AS29" s="144"/>
      <c r="AT29" s="144"/>
      <c r="AU29" s="144"/>
      <c r="AV29" s="144"/>
      <c r="AW29" s="338" t="s">
        <v>72</v>
      </c>
      <c r="AX29" s="339" t="s">
        <v>87</v>
      </c>
      <c r="AY29" s="363">
        <f>BC23*((BA11-AX11)/AX11)^0.5</f>
        <v>1.4107598042823062</v>
      </c>
      <c r="AZ29" s="363"/>
      <c r="BA29" s="363"/>
      <c r="BB29" s="363"/>
      <c r="BC29" s="363">
        <f>BC23*((BA11-AX11)/AX11)^0.5</f>
        <v>1.4107598042823062</v>
      </c>
      <c r="BD29" s="363"/>
      <c r="BE29" s="363"/>
      <c r="BF29" s="364"/>
      <c r="BG29" s="144"/>
      <c r="BH29" s="392"/>
      <c r="BI29" s="392"/>
      <c r="BJ29" s="144"/>
      <c r="BK29" s="144"/>
      <c r="BL29" s="144"/>
      <c r="BM29" s="46" t="s">
        <v>90</v>
      </c>
      <c r="BN29" s="144"/>
      <c r="BO29" s="47">
        <f>IF(BC41&gt;10,BE42,"")</f>
        <v>304.8</v>
      </c>
      <c r="BP29" s="144"/>
      <c r="BQ29" s="334">
        <f>(BO28-BO29)/1000*(BC27/1000)^2*PI()/4</f>
        <v>0.7116799778100511</v>
      </c>
      <c r="BR29" s="335"/>
      <c r="BS29" s="336">
        <f>BQ29/BA13*60</f>
        <v>43.288217717542722</v>
      </c>
      <c r="BT29" s="337"/>
      <c r="BU29" s="144"/>
      <c r="BV29" s="144"/>
      <c r="BW29" s="145"/>
      <c r="BX29" s="16"/>
      <c r="BY29" s="144"/>
      <c r="BZ29" s="145"/>
    </row>
    <row r="30" spans="1:80" ht="15.95" customHeight="1" thickBot="1">
      <c r="A30" s="25"/>
      <c r="B30" s="27" t="s">
        <v>91</v>
      </c>
      <c r="C30" s="27"/>
      <c r="D30" s="27"/>
      <c r="E30" s="27"/>
      <c r="F30" s="27"/>
      <c r="G30" s="27"/>
      <c r="H30" s="27"/>
      <c r="I30" s="27"/>
      <c r="J30" s="338" t="s">
        <v>82</v>
      </c>
      <c r="K30" s="339" t="s">
        <v>84</v>
      </c>
      <c r="L30" s="382">
        <f>AY30/1000/0.3048</f>
        <v>6.990260237507175</v>
      </c>
      <c r="M30" s="383"/>
      <c r="N30" s="383"/>
      <c r="O30" s="383"/>
      <c r="P30" s="382">
        <f>BC30/1000/0.3048</f>
        <v>8</v>
      </c>
      <c r="Q30" s="383"/>
      <c r="R30" s="383"/>
      <c r="S30" s="384"/>
      <c r="T30" s="144"/>
      <c r="U30" s="392"/>
      <c r="V30" s="392"/>
      <c r="W30" s="144"/>
      <c r="X30" s="144"/>
      <c r="Y30" s="144"/>
      <c r="Z30" s="46" t="s">
        <v>92</v>
      </c>
      <c r="AA30" s="144"/>
      <c r="AB30" s="64">
        <v>0</v>
      </c>
      <c r="AC30" s="144"/>
      <c r="AD30" s="385">
        <f>BQ30/0.3048^3</f>
        <v>50.26548245743669</v>
      </c>
      <c r="AE30" s="386"/>
      <c r="AF30" s="387">
        <f>BS30</f>
        <v>86.576435435085443</v>
      </c>
      <c r="AG30" s="388"/>
      <c r="AH30" s="144"/>
      <c r="AI30" s="144"/>
      <c r="AJ30" s="145"/>
      <c r="AK30" s="16"/>
      <c r="AL30" s="144"/>
      <c r="AM30" s="145"/>
      <c r="AN30" s="25"/>
      <c r="AO30" s="27" t="s">
        <v>91</v>
      </c>
      <c r="AP30" s="27"/>
      <c r="AQ30" s="27"/>
      <c r="AR30" s="27"/>
      <c r="AS30" s="27"/>
      <c r="AT30" s="27"/>
      <c r="AU30" s="27"/>
      <c r="AV30" s="27"/>
      <c r="AW30" s="338" t="s">
        <v>84</v>
      </c>
      <c r="AX30" s="339" t="s">
        <v>84</v>
      </c>
      <c r="AY30" s="389">
        <f>(((AX13/3600/(BC23*((BA11-AX11)/AX11)^0.5)/(PI()/4))^0.5)*1000)</f>
        <v>2130.6313203921873</v>
      </c>
      <c r="AZ30" s="390"/>
      <c r="BA30" s="390"/>
      <c r="BB30" s="390"/>
      <c r="BC30" s="389">
        <f>BC27</f>
        <v>2438.4</v>
      </c>
      <c r="BD30" s="390"/>
      <c r="BE30" s="390"/>
      <c r="BF30" s="391"/>
      <c r="BG30" s="144"/>
      <c r="BH30" s="392"/>
      <c r="BI30" s="392"/>
      <c r="BJ30" s="144"/>
      <c r="BK30" s="144"/>
      <c r="BL30" s="144"/>
      <c r="BM30" s="46" t="s">
        <v>92</v>
      </c>
      <c r="BN30" s="144"/>
      <c r="BO30" s="64">
        <v>0</v>
      </c>
      <c r="BP30" s="144"/>
      <c r="BQ30" s="385">
        <f>(BO29)/1000*(BC27/1000)^2*PI()/4</f>
        <v>1.4233599556201022</v>
      </c>
      <c r="BR30" s="386"/>
      <c r="BS30" s="387">
        <f>BQ30/BA13*60</f>
        <v>86.576435435085443</v>
      </c>
      <c r="BT30" s="388"/>
      <c r="BU30" s="144"/>
      <c r="BV30" s="144"/>
      <c r="BW30" s="145"/>
      <c r="BX30" s="16"/>
      <c r="BY30" s="144"/>
      <c r="BZ30" s="145"/>
    </row>
    <row r="31" spans="1:80" ht="15.95" customHeight="1">
      <c r="A31" s="6" t="s">
        <v>93</v>
      </c>
      <c r="B31" s="142"/>
      <c r="C31" s="142"/>
      <c r="D31" s="142"/>
      <c r="E31" s="142"/>
      <c r="F31" s="142"/>
      <c r="G31" s="142"/>
      <c r="H31" s="142"/>
      <c r="I31" s="142"/>
      <c r="J31" s="142"/>
      <c r="K31" s="66"/>
      <c r="L31" s="396" t="s">
        <v>67</v>
      </c>
      <c r="M31" s="397"/>
      <c r="N31" s="397"/>
      <c r="O31" s="397"/>
      <c r="P31" s="398" t="s">
        <v>68</v>
      </c>
      <c r="Q31" s="399"/>
      <c r="R31" s="399"/>
      <c r="S31" s="400"/>
      <c r="T31" s="13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1"/>
      <c r="AH31" s="144"/>
      <c r="AI31" s="144"/>
      <c r="AJ31" s="145"/>
      <c r="AK31" s="16"/>
      <c r="AL31" s="144"/>
      <c r="AM31" s="145"/>
      <c r="AN31" s="6" t="s">
        <v>93</v>
      </c>
      <c r="AO31" s="142"/>
      <c r="AP31" s="142"/>
      <c r="AQ31" s="142"/>
      <c r="AR31" s="142"/>
      <c r="AS31" s="142"/>
      <c r="AT31" s="142"/>
      <c r="AU31" s="142"/>
      <c r="AV31" s="142"/>
      <c r="AW31" s="142"/>
      <c r="AX31" s="66"/>
      <c r="AY31" s="396" t="s">
        <v>67</v>
      </c>
      <c r="AZ31" s="397"/>
      <c r="BA31" s="397"/>
      <c r="BB31" s="397"/>
      <c r="BC31" s="398" t="s">
        <v>68</v>
      </c>
      <c r="BD31" s="399"/>
      <c r="BE31" s="399"/>
      <c r="BF31" s="400"/>
      <c r="BG31" s="13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1"/>
      <c r="BU31" s="144"/>
      <c r="BV31" s="144"/>
      <c r="BW31" s="145"/>
      <c r="BX31" s="16"/>
      <c r="BY31" s="144"/>
      <c r="BZ31" s="145"/>
    </row>
    <row r="32" spans="1:80" ht="15.95" customHeight="1">
      <c r="A32" s="10"/>
      <c r="B32" s="144"/>
      <c r="C32" s="144"/>
      <c r="D32" s="144"/>
      <c r="E32" s="144"/>
      <c r="F32" s="144"/>
      <c r="G32" s="144"/>
      <c r="H32" s="67"/>
      <c r="I32" s="144"/>
      <c r="J32" s="144"/>
      <c r="K32" s="56"/>
      <c r="L32" s="404" t="s">
        <v>94</v>
      </c>
      <c r="M32" s="405"/>
      <c r="N32" s="404" t="s">
        <v>95</v>
      </c>
      <c r="O32" s="405"/>
      <c r="P32" s="401"/>
      <c r="Q32" s="402"/>
      <c r="R32" s="402"/>
      <c r="S32" s="403"/>
      <c r="T32" s="134"/>
      <c r="U32" s="136"/>
      <c r="V32" s="144"/>
      <c r="W32" s="68"/>
      <c r="X32" s="144"/>
      <c r="Y32" s="144"/>
      <c r="Z32" s="144"/>
      <c r="AA32" s="144"/>
      <c r="AB32" s="144"/>
      <c r="AC32" s="144"/>
      <c r="AD32" s="144"/>
      <c r="AE32" s="144"/>
      <c r="AF32" s="144"/>
      <c r="AG32" s="11"/>
      <c r="AH32" s="144"/>
      <c r="AI32" s="144"/>
      <c r="AJ32" s="145"/>
      <c r="AK32" s="16"/>
      <c r="AL32" s="144"/>
      <c r="AM32" s="145"/>
      <c r="AN32" s="10"/>
      <c r="AO32" s="144"/>
      <c r="AP32" s="144"/>
      <c r="AQ32" s="144"/>
      <c r="AR32" s="144"/>
      <c r="AS32" s="144"/>
      <c r="AT32" s="144"/>
      <c r="AU32" s="67"/>
      <c r="AV32" s="144"/>
      <c r="AW32" s="144"/>
      <c r="AX32" s="56"/>
      <c r="AY32" s="404" t="s">
        <v>94</v>
      </c>
      <c r="AZ32" s="405"/>
      <c r="BA32" s="404" t="s">
        <v>95</v>
      </c>
      <c r="BB32" s="405"/>
      <c r="BC32" s="401"/>
      <c r="BD32" s="402"/>
      <c r="BE32" s="402"/>
      <c r="BF32" s="403"/>
      <c r="BG32" s="134"/>
      <c r="BH32" s="136"/>
      <c r="BI32" s="144"/>
      <c r="BJ32" s="68"/>
      <c r="BK32" s="144"/>
      <c r="BL32" s="144"/>
      <c r="BM32" s="144"/>
      <c r="BN32" s="144"/>
      <c r="BO32" s="144"/>
      <c r="BP32" s="144"/>
      <c r="BQ32" s="144"/>
      <c r="BR32" s="144"/>
      <c r="BS32" s="144"/>
      <c r="BT32" s="11"/>
      <c r="BU32" s="144"/>
      <c r="BV32" s="144"/>
      <c r="BW32" s="145"/>
      <c r="BX32" s="16"/>
      <c r="BY32" s="144"/>
      <c r="BZ32" s="145"/>
    </row>
    <row r="33" spans="1:78" ht="15.95" customHeight="1">
      <c r="A33" s="17"/>
      <c r="B33" s="144" t="s">
        <v>96</v>
      </c>
      <c r="C33" s="144"/>
      <c r="D33" s="144"/>
      <c r="E33" s="144"/>
      <c r="F33" s="144"/>
      <c r="G33" s="144"/>
      <c r="H33" s="69"/>
      <c r="I33" s="144"/>
      <c r="J33" s="338" t="s">
        <v>82</v>
      </c>
      <c r="K33" s="339"/>
      <c r="L33" s="393">
        <f>SUM(L34:M42)/12</f>
        <v>8.5385924373101396</v>
      </c>
      <c r="M33" s="393"/>
      <c r="N33" s="393">
        <f>SUM(N34:O42)/12</f>
        <v>10.583333333333334</v>
      </c>
      <c r="O33" s="393"/>
      <c r="P33" s="408">
        <f>SUM(P34:Q42)/12</f>
        <v>10.583333333333334</v>
      </c>
      <c r="Q33" s="409"/>
      <c r="R33" s="394"/>
      <c r="S33" s="395"/>
      <c r="T33" s="144"/>
      <c r="U33" s="144"/>
      <c r="V33" s="144"/>
      <c r="W33" s="68"/>
      <c r="X33" s="144"/>
      <c r="Y33" s="144"/>
      <c r="Z33" s="144"/>
      <c r="AA33" s="144"/>
      <c r="AB33" s="144"/>
      <c r="AC33" s="144"/>
      <c r="AD33" s="144"/>
      <c r="AE33" s="144"/>
      <c r="AF33" s="19">
        <f>R20</f>
        <v>3</v>
      </c>
      <c r="AG33" s="13" t="s">
        <v>97</v>
      </c>
      <c r="AH33" s="144"/>
      <c r="AI33" s="70"/>
      <c r="AJ33" s="145"/>
      <c r="AK33" s="16"/>
      <c r="AL33" s="144"/>
      <c r="AM33" s="145"/>
      <c r="AN33" s="17"/>
      <c r="AO33" s="144" t="s">
        <v>96</v>
      </c>
      <c r="AP33" s="144"/>
      <c r="AQ33" s="144"/>
      <c r="AR33" s="144"/>
      <c r="AS33" s="144"/>
      <c r="AT33" s="144"/>
      <c r="AU33" s="69"/>
      <c r="AV33" s="144"/>
      <c r="AW33" s="338" t="s">
        <v>84</v>
      </c>
      <c r="AX33" s="339"/>
      <c r="AY33" s="406">
        <f>SUM(AY34:AZ42)</f>
        <v>2524.552307199031</v>
      </c>
      <c r="AZ33" s="406"/>
      <c r="BA33" s="406">
        <f>SUM(BA34:BB42)</f>
        <v>3120</v>
      </c>
      <c r="BB33" s="406"/>
      <c r="BC33" s="407">
        <f>SUM(BC34:BD42)</f>
        <v>3225.8000000000006</v>
      </c>
      <c r="BD33" s="407"/>
      <c r="BE33" s="394"/>
      <c r="BF33" s="395"/>
      <c r="BG33" s="144"/>
      <c r="BH33" s="144"/>
      <c r="BI33" s="144"/>
      <c r="BJ33" s="68"/>
      <c r="BK33" s="144"/>
      <c r="BL33" s="144"/>
      <c r="BM33" s="144"/>
      <c r="BN33" s="144"/>
      <c r="BO33" s="144"/>
      <c r="BP33" s="144"/>
      <c r="BQ33" s="144"/>
      <c r="BR33" s="144"/>
      <c r="BS33" s="19">
        <f>BE20</f>
        <v>3</v>
      </c>
      <c r="BT33" s="13" t="s">
        <v>97</v>
      </c>
      <c r="BU33" s="144"/>
      <c r="BV33" s="70"/>
      <c r="BW33" s="145"/>
      <c r="BX33" s="16"/>
      <c r="BY33" s="144"/>
      <c r="BZ33" s="145"/>
    </row>
    <row r="34" spans="1:78" ht="15.95" customHeight="1">
      <c r="A34" s="17"/>
      <c r="B34" s="144" t="s">
        <v>98</v>
      </c>
      <c r="C34" s="144"/>
      <c r="D34" s="144"/>
      <c r="E34" s="144"/>
      <c r="F34" s="144"/>
      <c r="G34" s="144"/>
      <c r="H34" s="69"/>
      <c r="I34" s="144"/>
      <c r="J34" s="338" t="s">
        <v>51</v>
      </c>
      <c r="K34" s="339"/>
      <c r="L34" s="393">
        <f>IF(P27*12*0.15&lt;12,12,P27*12*0.15)</f>
        <v>14.399999999999999</v>
      </c>
      <c r="M34" s="393"/>
      <c r="N34" s="393">
        <f>ROUNDUP(L34,0)</f>
        <v>15</v>
      </c>
      <c r="O34" s="393"/>
      <c r="P34" s="410">
        <v>15</v>
      </c>
      <c r="Q34" s="410"/>
      <c r="R34" s="411">
        <f t="shared" ref="R34:R41" si="0">R35+P34</f>
        <v>127</v>
      </c>
      <c r="S34" s="412"/>
      <c r="T34" s="71"/>
      <c r="U34" s="413"/>
      <c r="V34" s="413"/>
      <c r="W34" s="72" t="s">
        <v>99</v>
      </c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45"/>
      <c r="AK34" s="16"/>
      <c r="AL34" s="144"/>
      <c r="AM34" s="145"/>
      <c r="AN34" s="17"/>
      <c r="AO34" s="144" t="s">
        <v>100</v>
      </c>
      <c r="AP34" s="144"/>
      <c r="AQ34" s="144"/>
      <c r="AR34" s="144"/>
      <c r="AS34" s="144"/>
      <c r="AT34" s="144"/>
      <c r="AU34" s="69"/>
      <c r="AV34" s="144"/>
      <c r="AW34" s="338" t="s">
        <v>84</v>
      </c>
      <c r="AX34" s="339"/>
      <c r="AY34" s="406">
        <f>IF(BC27*0.15&lt;300,300,BC27*0.15)</f>
        <v>365.76</v>
      </c>
      <c r="AZ34" s="406"/>
      <c r="BA34" s="406">
        <f>ROUNDUP(AY34,-1)</f>
        <v>370</v>
      </c>
      <c r="BB34" s="406"/>
      <c r="BC34" s="410">
        <f>P34/12*0.3048*1000</f>
        <v>381</v>
      </c>
      <c r="BD34" s="410"/>
      <c r="BE34" s="411">
        <f t="shared" ref="BE34:BE39" si="1">BE35+BC34</f>
        <v>3225.8</v>
      </c>
      <c r="BF34" s="412"/>
      <c r="BG34" s="71"/>
      <c r="BH34" s="413"/>
      <c r="BI34" s="413"/>
      <c r="BJ34" s="72" t="s">
        <v>99</v>
      </c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45"/>
      <c r="BX34" s="16"/>
      <c r="BY34" s="144"/>
      <c r="BZ34" s="145"/>
    </row>
    <row r="35" spans="1:78" ht="15.95" customHeight="1">
      <c r="A35" s="17"/>
      <c r="B35" s="144" t="s">
        <v>101</v>
      </c>
      <c r="C35" s="144"/>
      <c r="D35" s="144"/>
      <c r="E35" s="144"/>
      <c r="F35" s="144"/>
      <c r="G35" s="144"/>
      <c r="H35" s="69"/>
      <c r="I35" s="73" t="s">
        <v>102</v>
      </c>
      <c r="J35" s="338" t="s">
        <v>51</v>
      </c>
      <c r="K35" s="339"/>
      <c r="L35" s="393">
        <v>6</v>
      </c>
      <c r="M35" s="393"/>
      <c r="N35" s="393">
        <f>ROUNDUP(L35,0)</f>
        <v>6</v>
      </c>
      <c r="O35" s="393"/>
      <c r="P35" s="414">
        <v>6</v>
      </c>
      <c r="Q35" s="415"/>
      <c r="R35" s="411">
        <f t="shared" si="0"/>
        <v>112</v>
      </c>
      <c r="S35" s="412"/>
      <c r="T35" s="71"/>
      <c r="U35" s="416"/>
      <c r="V35" s="416"/>
      <c r="W35" s="417" t="s">
        <v>103</v>
      </c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8"/>
      <c r="AK35" s="16"/>
      <c r="AL35" s="144"/>
      <c r="AM35" s="145"/>
      <c r="AN35" s="17"/>
      <c r="AO35" s="144" t="s">
        <v>101</v>
      </c>
      <c r="AP35" s="144"/>
      <c r="AQ35" s="144"/>
      <c r="AR35" s="144"/>
      <c r="AS35" s="144"/>
      <c r="AT35" s="144"/>
      <c r="AU35" s="69"/>
      <c r="AV35" s="73" t="s">
        <v>102</v>
      </c>
      <c r="AW35" s="338" t="s">
        <v>84</v>
      </c>
      <c r="AX35" s="339"/>
      <c r="AY35" s="406">
        <v>150</v>
      </c>
      <c r="AZ35" s="406"/>
      <c r="BA35" s="406">
        <f>ROUNDUP(AY35,-1)</f>
        <v>150</v>
      </c>
      <c r="BB35" s="406"/>
      <c r="BC35" s="410">
        <f t="shared" ref="BC35:BC41" si="2">P35/12*0.3048*1000</f>
        <v>152.4</v>
      </c>
      <c r="BD35" s="410"/>
      <c r="BE35" s="411">
        <f t="shared" si="1"/>
        <v>2844.8</v>
      </c>
      <c r="BF35" s="412"/>
      <c r="BG35" s="71"/>
      <c r="BH35" s="416"/>
      <c r="BI35" s="416"/>
      <c r="BJ35" s="417" t="s">
        <v>104</v>
      </c>
      <c r="BK35" s="417"/>
      <c r="BL35" s="417"/>
      <c r="BM35" s="417"/>
      <c r="BN35" s="417"/>
      <c r="BO35" s="417"/>
      <c r="BP35" s="417"/>
      <c r="BQ35" s="417"/>
      <c r="BR35" s="417"/>
      <c r="BS35" s="417"/>
      <c r="BT35" s="417"/>
      <c r="BU35" s="417"/>
      <c r="BV35" s="417"/>
      <c r="BW35" s="418"/>
      <c r="BX35" s="16"/>
      <c r="BY35" s="144"/>
      <c r="BZ35" s="145"/>
    </row>
    <row r="36" spans="1:78" ht="15.95" customHeight="1">
      <c r="A36" s="17"/>
      <c r="B36" s="11" t="s">
        <v>105</v>
      </c>
      <c r="C36" s="144"/>
      <c r="D36" s="144"/>
      <c r="E36" s="144"/>
      <c r="F36" s="144"/>
      <c r="G36" s="144"/>
      <c r="H36" s="138"/>
      <c r="I36" s="144"/>
      <c r="J36" s="338" t="s">
        <v>51</v>
      </c>
      <c r="K36" s="339"/>
      <c r="L36" s="393">
        <f>AY36*0.03937008</f>
        <v>39.370080000000002</v>
      </c>
      <c r="M36" s="393"/>
      <c r="N36" s="393">
        <f>ROUNDUP(L36,0)</f>
        <v>40</v>
      </c>
      <c r="O36" s="393"/>
      <c r="P36" s="414">
        <v>40</v>
      </c>
      <c r="Q36" s="415"/>
      <c r="R36" s="411">
        <f t="shared" si="0"/>
        <v>106</v>
      </c>
      <c r="S36" s="412"/>
      <c r="T36" s="71"/>
      <c r="U36" s="136"/>
      <c r="V36" s="144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7"/>
      <c r="AJ36" s="418"/>
      <c r="AK36" s="16"/>
      <c r="AL36" s="144"/>
      <c r="AM36" s="145"/>
      <c r="AN36" s="17"/>
      <c r="AO36" s="11" t="s">
        <v>106</v>
      </c>
      <c r="AP36" s="144"/>
      <c r="AQ36" s="144"/>
      <c r="AR36" s="144"/>
      <c r="AS36" s="144"/>
      <c r="AT36" s="144"/>
      <c r="AU36" s="138"/>
      <c r="AV36" s="144"/>
      <c r="AW36" s="338" t="s">
        <v>84</v>
      </c>
      <c r="AX36" s="339"/>
      <c r="AY36" s="406">
        <f>IF(BC27&gt;2000,1000,0.5*BC27)</f>
        <v>1000</v>
      </c>
      <c r="AZ36" s="406"/>
      <c r="BA36" s="406">
        <f>ROUNDUP(AY36,-1)</f>
        <v>1000</v>
      </c>
      <c r="BB36" s="406"/>
      <c r="BC36" s="410">
        <f t="shared" si="2"/>
        <v>1016</v>
      </c>
      <c r="BD36" s="410"/>
      <c r="BE36" s="411">
        <f t="shared" si="1"/>
        <v>2692.4</v>
      </c>
      <c r="BF36" s="412"/>
      <c r="BG36" s="71"/>
      <c r="BH36" s="136"/>
      <c r="BI36" s="144"/>
      <c r="BJ36" s="417"/>
      <c r="BK36" s="417"/>
      <c r="BL36" s="417"/>
      <c r="BM36" s="417"/>
      <c r="BN36" s="417"/>
      <c r="BO36" s="417"/>
      <c r="BP36" s="417"/>
      <c r="BQ36" s="417"/>
      <c r="BR36" s="417"/>
      <c r="BS36" s="417"/>
      <c r="BT36" s="417"/>
      <c r="BU36" s="417"/>
      <c r="BV36" s="417"/>
      <c r="BW36" s="418"/>
      <c r="BX36" s="16"/>
      <c r="BY36" s="144"/>
      <c r="BZ36" s="145"/>
    </row>
    <row r="37" spans="1:78" ht="15.95" customHeight="1" thickBot="1">
      <c r="A37" s="21"/>
      <c r="B37" s="144" t="s">
        <v>107</v>
      </c>
      <c r="C37" s="144"/>
      <c r="D37" s="144"/>
      <c r="E37" s="144"/>
      <c r="F37" s="144"/>
      <c r="G37" s="144"/>
      <c r="H37" s="137"/>
      <c r="I37" s="144"/>
      <c r="J37" s="338" t="s">
        <v>51</v>
      </c>
      <c r="K37" s="339"/>
      <c r="L37" s="393">
        <f>L18</f>
        <v>16</v>
      </c>
      <c r="M37" s="393"/>
      <c r="N37" s="393">
        <f>ROUNDUP(L37,0)</f>
        <v>16</v>
      </c>
      <c r="O37" s="393"/>
      <c r="P37" s="414">
        <v>16</v>
      </c>
      <c r="Q37" s="415"/>
      <c r="R37" s="411">
        <f t="shared" si="0"/>
        <v>66</v>
      </c>
      <c r="S37" s="419"/>
      <c r="T37" s="25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74"/>
      <c r="AH37" s="75"/>
      <c r="AI37" s="76"/>
      <c r="AJ37" s="27"/>
      <c r="AK37" s="16"/>
      <c r="AL37" s="27"/>
      <c r="AM37" s="77"/>
      <c r="AN37" s="21"/>
      <c r="AO37" s="144" t="s">
        <v>107</v>
      </c>
      <c r="AP37" s="144"/>
      <c r="AQ37" s="144"/>
      <c r="AR37" s="144"/>
      <c r="AS37" s="144"/>
      <c r="AT37" s="144"/>
      <c r="AU37" s="137"/>
      <c r="AV37" s="144"/>
      <c r="AW37" s="338" t="s">
        <v>84</v>
      </c>
      <c r="AX37" s="339"/>
      <c r="AY37" s="406">
        <f>AY18</f>
        <v>406.4</v>
      </c>
      <c r="AZ37" s="406"/>
      <c r="BA37" s="406">
        <f>ROUNDUP(AY37,-1)</f>
        <v>410</v>
      </c>
      <c r="BB37" s="406"/>
      <c r="BC37" s="410">
        <f t="shared" si="2"/>
        <v>406.4</v>
      </c>
      <c r="BD37" s="410"/>
      <c r="BE37" s="411">
        <f t="shared" si="1"/>
        <v>1676.4</v>
      </c>
      <c r="BF37" s="419"/>
      <c r="BG37" s="25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6"/>
      <c r="BU37" s="27"/>
      <c r="BV37" s="27"/>
      <c r="BW37" s="27"/>
      <c r="BX37" s="16"/>
      <c r="BY37" s="27"/>
      <c r="BZ37" s="77"/>
    </row>
    <row r="38" spans="1:78" ht="15.95" customHeight="1">
      <c r="A38" s="17"/>
      <c r="B38" s="11" t="s">
        <v>108</v>
      </c>
      <c r="C38" s="144"/>
      <c r="D38" s="144"/>
      <c r="E38" s="144"/>
      <c r="F38" s="144"/>
      <c r="G38" s="144"/>
      <c r="H38" s="78"/>
      <c r="I38" s="144"/>
      <c r="J38" s="338" t="s">
        <v>51</v>
      </c>
      <c r="K38" s="339"/>
      <c r="L38" s="393">
        <f>IF(L18/2+6&gt;12,L18/2+6,12)</f>
        <v>14</v>
      </c>
      <c r="M38" s="393"/>
      <c r="N38" s="393">
        <f>ROUNDUP(L38,0)</f>
        <v>14</v>
      </c>
      <c r="O38" s="393"/>
      <c r="P38" s="414">
        <v>14</v>
      </c>
      <c r="Q38" s="415"/>
      <c r="R38" s="411">
        <f t="shared" si="0"/>
        <v>50</v>
      </c>
      <c r="S38" s="419"/>
      <c r="T38" s="79"/>
      <c r="U38" s="420" t="s">
        <v>109</v>
      </c>
      <c r="V38" s="420"/>
      <c r="W38" s="420"/>
      <c r="X38" s="420"/>
      <c r="Y38" s="420"/>
      <c r="Z38" s="420"/>
      <c r="AA38" s="420"/>
      <c r="AB38" s="420"/>
      <c r="AC38" s="420"/>
      <c r="AD38" s="420"/>
      <c r="AE38" s="420"/>
      <c r="AF38" s="420"/>
      <c r="AG38" s="80"/>
      <c r="AH38" s="81"/>
      <c r="AI38" s="82"/>
      <c r="AJ38" s="142"/>
      <c r="AK38" s="142"/>
      <c r="AL38" s="142"/>
      <c r="AM38" s="143"/>
      <c r="AN38" s="17"/>
      <c r="AO38" s="11" t="s">
        <v>108</v>
      </c>
      <c r="AP38" s="144"/>
      <c r="AQ38" s="144"/>
      <c r="AR38" s="144"/>
      <c r="AS38" s="144"/>
      <c r="AT38" s="144"/>
      <c r="AU38" s="78"/>
      <c r="AV38" s="144"/>
      <c r="AW38" s="338" t="s">
        <v>84</v>
      </c>
      <c r="AX38" s="339"/>
      <c r="AY38" s="406">
        <f>IF(AW18*25.4*0.5+150&gt;300,AW18*25.4*0.5+150,300)</f>
        <v>334.7893648701953</v>
      </c>
      <c r="AZ38" s="406"/>
      <c r="BA38" s="406">
        <f>ROUNDUP(AY38,-1)</f>
        <v>340</v>
      </c>
      <c r="BB38" s="406"/>
      <c r="BC38" s="410">
        <f t="shared" si="2"/>
        <v>355.6</v>
      </c>
      <c r="BD38" s="410"/>
      <c r="BE38" s="411">
        <f t="shared" si="1"/>
        <v>1270</v>
      </c>
      <c r="BF38" s="419"/>
      <c r="BG38" s="79"/>
      <c r="BH38" s="420" t="s">
        <v>109</v>
      </c>
      <c r="BI38" s="420"/>
      <c r="BJ38" s="420"/>
      <c r="BK38" s="420"/>
      <c r="BL38" s="420"/>
      <c r="BM38" s="420"/>
      <c r="BN38" s="420"/>
      <c r="BO38" s="420"/>
      <c r="BP38" s="420"/>
      <c r="BQ38" s="420"/>
      <c r="BR38" s="420"/>
      <c r="BS38" s="420"/>
      <c r="BT38" s="80"/>
      <c r="BU38" s="81"/>
      <c r="BV38" s="82"/>
      <c r="BW38" s="142"/>
      <c r="BX38" s="142"/>
      <c r="BY38" s="142"/>
      <c r="BZ38" s="143"/>
    </row>
    <row r="39" spans="1:78" ht="15.95" customHeight="1">
      <c r="A39" s="17"/>
      <c r="B39" s="144" t="s">
        <v>110</v>
      </c>
      <c r="C39" s="144"/>
      <c r="D39" s="144"/>
      <c r="E39" s="144"/>
      <c r="F39" s="144"/>
      <c r="G39" s="422">
        <v>2</v>
      </c>
      <c r="H39" s="423"/>
      <c r="I39" s="83" t="s">
        <v>111</v>
      </c>
      <c r="J39" s="338" t="s">
        <v>51</v>
      </c>
      <c r="K39" s="339"/>
      <c r="L39" s="393">
        <f>AY39*0.03937008</f>
        <v>0.13860584954433175</v>
      </c>
      <c r="M39" s="393"/>
      <c r="N39" s="393">
        <f>IF(L39&gt;6,L39,6)</f>
        <v>6</v>
      </c>
      <c r="O39" s="393"/>
      <c r="P39" s="414">
        <v>6</v>
      </c>
      <c r="Q39" s="415"/>
      <c r="R39" s="411">
        <f t="shared" si="0"/>
        <v>36</v>
      </c>
      <c r="S39" s="419"/>
      <c r="T39" s="424" t="s">
        <v>112</v>
      </c>
      <c r="U39" s="425"/>
      <c r="V39" s="425"/>
      <c r="W39" s="425"/>
      <c r="X39" s="84" t="str">
        <f>IF(AND(P39&gt;=6,AF22&gt;2),"; OK", " too small")</f>
        <v>; OK</v>
      </c>
      <c r="Y39" s="85"/>
      <c r="Z39" s="85"/>
      <c r="AA39" s="85" t="s">
        <v>136</v>
      </c>
      <c r="AB39" s="85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7"/>
      <c r="AN39" s="17"/>
      <c r="AO39" s="144" t="s">
        <v>110</v>
      </c>
      <c r="AP39" s="144"/>
      <c r="AQ39" s="144"/>
      <c r="AR39" s="144"/>
      <c r="AS39" s="144"/>
      <c r="AT39" s="426">
        <v>1</v>
      </c>
      <c r="AU39" s="427"/>
      <c r="AV39" s="83" t="s">
        <v>111</v>
      </c>
      <c r="AW39" s="338" t="s">
        <v>84</v>
      </c>
      <c r="AX39" s="339"/>
      <c r="AY39" s="428">
        <f>BA13/60*AT39/((BC27/1000)^2*PI()/4)*1000</f>
        <v>3.5205884657671951</v>
      </c>
      <c r="AZ39" s="428"/>
      <c r="BA39" s="428">
        <f>IF(BA13/60*AT39/((BC27/1000)^2*PI()/4)*1000&gt;150,BA13/60*AT39/((BC27/1000)^2*PI()/4)*1000,150)</f>
        <v>150</v>
      </c>
      <c r="BB39" s="428"/>
      <c r="BC39" s="410">
        <f t="shared" si="2"/>
        <v>152.4</v>
      </c>
      <c r="BD39" s="410"/>
      <c r="BE39" s="411">
        <f t="shared" si="1"/>
        <v>914.4</v>
      </c>
      <c r="BF39" s="419"/>
      <c r="BG39" s="424" t="s">
        <v>112</v>
      </c>
      <c r="BH39" s="425"/>
      <c r="BI39" s="425"/>
      <c r="BJ39" s="425"/>
      <c r="BK39" s="84" t="str">
        <f>IF(AND(BC39&gt;=BA39,BC39&gt;=150), "; OK", " too small")</f>
        <v>; OK</v>
      </c>
      <c r="BL39" s="85"/>
      <c r="BM39" s="85"/>
      <c r="BN39" s="85" t="s">
        <v>113</v>
      </c>
      <c r="BO39" s="85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7"/>
    </row>
    <row r="40" spans="1:78" ht="15.95" customHeight="1">
      <c r="A40" s="17"/>
      <c r="B40" s="144" t="s">
        <v>114</v>
      </c>
      <c r="C40" s="144"/>
      <c r="D40" s="144"/>
      <c r="E40" s="144"/>
      <c r="F40" s="144"/>
      <c r="G40" s="422">
        <v>6</v>
      </c>
      <c r="H40" s="423"/>
      <c r="I40" s="83" t="s">
        <v>111</v>
      </c>
      <c r="J40" s="338" t="s">
        <v>51</v>
      </c>
      <c r="K40" s="339"/>
      <c r="L40" s="393">
        <f>AY40*0.03937008</f>
        <v>0.41581754863299519</v>
      </c>
      <c r="M40" s="393"/>
      <c r="N40" s="393">
        <f>IF(L40&gt;12,L40,12)</f>
        <v>12</v>
      </c>
      <c r="O40" s="393"/>
      <c r="P40" s="414">
        <v>12</v>
      </c>
      <c r="Q40" s="415"/>
      <c r="R40" s="411">
        <f>R41+P40</f>
        <v>30</v>
      </c>
      <c r="S40" s="419"/>
      <c r="T40" s="424" t="s">
        <v>115</v>
      </c>
      <c r="U40" s="425"/>
      <c r="V40" s="425"/>
      <c r="W40" s="425"/>
      <c r="X40" s="84" t="str">
        <f>IF(AND(P40&gt;=12,AF25&gt;6),"; OK", " too small")</f>
        <v>; OK</v>
      </c>
      <c r="Y40" s="85"/>
      <c r="Z40" s="85"/>
      <c r="AA40" s="85" t="s">
        <v>137</v>
      </c>
      <c r="AB40" s="85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7"/>
      <c r="AN40" s="17"/>
      <c r="AO40" s="144" t="s">
        <v>114</v>
      </c>
      <c r="AP40" s="144"/>
      <c r="AQ40" s="144"/>
      <c r="AR40" s="144"/>
      <c r="AS40" s="144"/>
      <c r="AT40" s="426">
        <v>3</v>
      </c>
      <c r="AU40" s="427"/>
      <c r="AV40" s="83" t="s">
        <v>111</v>
      </c>
      <c r="AW40" s="338" t="s">
        <v>84</v>
      </c>
      <c r="AX40" s="339"/>
      <c r="AY40" s="428">
        <f>BA13/60*AT40/((BC27/1000)^2*PI()/4)*1000</f>
        <v>10.561765397301585</v>
      </c>
      <c r="AZ40" s="428"/>
      <c r="BA40" s="428">
        <f>IF(BA13/60*AT40/((BC27/1000)^2*PI()/4)*1000&gt;300,BA13/60*AT40/((BC27/1000)^2*PI()/4)*1000,300)</f>
        <v>300</v>
      </c>
      <c r="BB40" s="428"/>
      <c r="BC40" s="410">
        <f t="shared" si="2"/>
        <v>304.8</v>
      </c>
      <c r="BD40" s="410"/>
      <c r="BE40" s="411">
        <f>BE41+BC40</f>
        <v>762</v>
      </c>
      <c r="BF40" s="419"/>
      <c r="BG40" s="424" t="s">
        <v>115</v>
      </c>
      <c r="BH40" s="425"/>
      <c r="BI40" s="425"/>
      <c r="BJ40" s="425"/>
      <c r="BK40" s="84" t="str">
        <f>IF(AND(BC40&gt;=BA40,BC40&gt;=300), "; OK", " too small")</f>
        <v>; OK</v>
      </c>
      <c r="BL40" s="85"/>
      <c r="BM40" s="85"/>
      <c r="BN40" s="85" t="s">
        <v>116</v>
      </c>
      <c r="BO40" s="85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7"/>
    </row>
    <row r="41" spans="1:78" ht="15.95" customHeight="1">
      <c r="A41" s="17"/>
      <c r="B41" s="144" t="s">
        <v>117</v>
      </c>
      <c r="C41" s="144"/>
      <c r="D41" s="144"/>
      <c r="E41" s="144"/>
      <c r="F41" s="144"/>
      <c r="G41" s="422">
        <v>2</v>
      </c>
      <c r="H41" s="423"/>
      <c r="I41" s="83" t="s">
        <v>111</v>
      </c>
      <c r="J41" s="338" t="s">
        <v>51</v>
      </c>
      <c r="K41" s="339"/>
      <c r="L41" s="393">
        <f>AY41*0.03937008</f>
        <v>0.13860584954433175</v>
      </c>
      <c r="M41" s="393"/>
      <c r="N41" s="393">
        <f>IF(L41&gt;6,L41,6)</f>
        <v>6</v>
      </c>
      <c r="O41" s="393"/>
      <c r="P41" s="414">
        <v>6</v>
      </c>
      <c r="Q41" s="415"/>
      <c r="R41" s="411">
        <f t="shared" si="0"/>
        <v>18</v>
      </c>
      <c r="S41" s="419"/>
      <c r="T41" s="424" t="s">
        <v>118</v>
      </c>
      <c r="U41" s="425"/>
      <c r="V41" s="425"/>
      <c r="W41" s="425"/>
      <c r="X41" s="84" t="str">
        <f>IF(AND(P41&gt;=6,AF29&gt;2),"; OK", " too small")</f>
        <v>; OK</v>
      </c>
      <c r="Y41" s="85"/>
      <c r="Z41" s="85"/>
      <c r="AA41" s="85" t="s">
        <v>136</v>
      </c>
      <c r="AB41" s="85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7"/>
      <c r="AN41" s="17"/>
      <c r="AO41" s="144" t="s">
        <v>117</v>
      </c>
      <c r="AP41" s="144"/>
      <c r="AQ41" s="144"/>
      <c r="AR41" s="144"/>
      <c r="AS41" s="144"/>
      <c r="AT41" s="426">
        <v>1</v>
      </c>
      <c r="AU41" s="427"/>
      <c r="AV41" s="83" t="s">
        <v>111</v>
      </c>
      <c r="AW41" s="338" t="s">
        <v>84</v>
      </c>
      <c r="AX41" s="339"/>
      <c r="AY41" s="406">
        <f>BA13/60*AT41/((BC27/1000)^2*PI()/4)*1000</f>
        <v>3.5205884657671951</v>
      </c>
      <c r="AZ41" s="406"/>
      <c r="BA41" s="406">
        <f>IF(BA13/60*AT41/((BC27/1000)^2*PI()/4)*1000&gt;150,BA13/60*AT41/((BC27/1000)^2*PI()/4)*1000,150)</f>
        <v>150</v>
      </c>
      <c r="BB41" s="406"/>
      <c r="BC41" s="410">
        <f t="shared" si="2"/>
        <v>152.4</v>
      </c>
      <c r="BD41" s="410"/>
      <c r="BE41" s="411">
        <f>BE42+BC41</f>
        <v>457.20000000000005</v>
      </c>
      <c r="BF41" s="419"/>
      <c r="BG41" s="424" t="s">
        <v>118</v>
      </c>
      <c r="BH41" s="425"/>
      <c r="BI41" s="425"/>
      <c r="BJ41" s="425"/>
      <c r="BK41" s="84" t="str">
        <f>IF(AND(BC41&gt;=BA41,BC41&gt;=150), "; OK", " too small")</f>
        <v>; OK</v>
      </c>
      <c r="BL41" s="85"/>
      <c r="BM41" s="85"/>
      <c r="BN41" s="85" t="s">
        <v>119</v>
      </c>
      <c r="BO41" s="85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7"/>
    </row>
    <row r="42" spans="1:78" ht="15.95" customHeight="1" thickBot="1">
      <c r="A42" s="25"/>
      <c r="B42" s="27" t="s">
        <v>120</v>
      </c>
      <c r="C42" s="27"/>
      <c r="D42" s="27"/>
      <c r="E42" s="27"/>
      <c r="F42" s="27"/>
      <c r="G42" s="27"/>
      <c r="H42" s="88"/>
      <c r="I42" s="27"/>
      <c r="J42" s="429" t="s">
        <v>51</v>
      </c>
      <c r="K42" s="430"/>
      <c r="L42" s="431">
        <v>12</v>
      </c>
      <c r="M42" s="431"/>
      <c r="N42" s="431">
        <f>ROUNDUP(L42,0)</f>
        <v>12</v>
      </c>
      <c r="O42" s="431"/>
      <c r="P42" s="432">
        <v>12</v>
      </c>
      <c r="Q42" s="433"/>
      <c r="R42" s="434">
        <f>P42</f>
        <v>12</v>
      </c>
      <c r="S42" s="435"/>
      <c r="T42" s="424" t="s">
        <v>121</v>
      </c>
      <c r="U42" s="425"/>
      <c r="V42" s="425"/>
      <c r="W42" s="425"/>
      <c r="X42" s="84" t="str">
        <f>IF(P42&gt;=12, "; OK", " too small")</f>
        <v>; OK</v>
      </c>
      <c r="Y42" s="85"/>
      <c r="Z42" s="85"/>
      <c r="AA42" s="85" t="s">
        <v>122</v>
      </c>
      <c r="AB42" s="85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7"/>
      <c r="AN42" s="25"/>
      <c r="AO42" s="27" t="s">
        <v>120</v>
      </c>
      <c r="AP42" s="27"/>
      <c r="AQ42" s="27"/>
      <c r="AR42" s="27"/>
      <c r="AS42" s="27"/>
      <c r="AT42" s="27"/>
      <c r="AU42" s="88"/>
      <c r="AV42" s="27"/>
      <c r="AW42" s="429" t="s">
        <v>84</v>
      </c>
      <c r="AX42" s="430"/>
      <c r="AY42" s="436">
        <v>250</v>
      </c>
      <c r="AZ42" s="436"/>
      <c r="BA42" s="436">
        <f>ROUNDUP(AY42,-1)</f>
        <v>250</v>
      </c>
      <c r="BB42" s="436"/>
      <c r="BC42" s="437">
        <f>P42/12*0.3048*1000</f>
        <v>304.8</v>
      </c>
      <c r="BD42" s="437"/>
      <c r="BE42" s="434">
        <f>BC42</f>
        <v>304.8</v>
      </c>
      <c r="BF42" s="435"/>
      <c r="BG42" s="424" t="s">
        <v>121</v>
      </c>
      <c r="BH42" s="425"/>
      <c r="BI42" s="425"/>
      <c r="BJ42" s="425"/>
      <c r="BK42" s="84" t="str">
        <f>IF(AND(BC42&gt;=BA42,BC42&gt;=200), "; OK", " too small")</f>
        <v>; OK</v>
      </c>
      <c r="BL42" s="85"/>
      <c r="BM42" s="85"/>
      <c r="BN42" s="85" t="s">
        <v>123</v>
      </c>
      <c r="BO42" s="85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7"/>
    </row>
    <row r="43" spans="1:78" ht="15.95" customHeight="1">
      <c r="A43" s="6" t="s">
        <v>124</v>
      </c>
      <c r="B43" s="142"/>
      <c r="C43" s="142"/>
      <c r="D43" s="142"/>
      <c r="E43" s="142" t="s">
        <v>125</v>
      </c>
      <c r="F43" s="142"/>
      <c r="G43" s="142"/>
      <c r="H43" s="142"/>
      <c r="I43" s="89"/>
      <c r="J43" s="89"/>
      <c r="K43" s="148"/>
      <c r="L43" s="438">
        <f>L33/P27</f>
        <v>1.0673240546637675</v>
      </c>
      <c r="M43" s="439"/>
      <c r="N43" s="439">
        <f>N33/P27</f>
        <v>1.3229166666666667</v>
      </c>
      <c r="O43" s="439"/>
      <c r="P43" s="439">
        <f>P33/P27</f>
        <v>1.3229166666666667</v>
      </c>
      <c r="Q43" s="439"/>
      <c r="R43" s="439"/>
      <c r="S43" s="440"/>
      <c r="T43" s="90"/>
      <c r="U43" s="144"/>
      <c r="V43" s="144"/>
      <c r="W43" s="144"/>
      <c r="X43" s="144"/>
      <c r="Y43" s="144"/>
      <c r="Z43" s="47"/>
      <c r="AA43" s="47"/>
      <c r="AB43" s="47"/>
      <c r="AC43" s="47"/>
      <c r="AD43" s="47"/>
      <c r="AE43" s="47"/>
      <c r="AF43" s="47"/>
      <c r="AG43" s="91"/>
      <c r="AH43" s="47"/>
      <c r="AI43" s="47"/>
      <c r="AJ43" s="92"/>
      <c r="AK43" s="144"/>
      <c r="AL43" s="144"/>
      <c r="AM43" s="145"/>
      <c r="AN43" s="6" t="s">
        <v>124</v>
      </c>
      <c r="AO43" s="142"/>
      <c r="AP43" s="142"/>
      <c r="AQ43" s="142"/>
      <c r="AR43" s="142" t="s">
        <v>125</v>
      </c>
      <c r="AS43" s="142"/>
      <c r="AT43" s="142"/>
      <c r="AU43" s="142"/>
      <c r="AV43" s="89"/>
      <c r="AW43" s="89"/>
      <c r="AX43" s="148"/>
      <c r="AY43" s="438">
        <f>AY33/BC27</f>
        <v>1.0353314908132509</v>
      </c>
      <c r="AZ43" s="439"/>
      <c r="BA43" s="439">
        <f>BA33/BC27</f>
        <v>1.2795275590551181</v>
      </c>
      <c r="BB43" s="439"/>
      <c r="BC43" s="439">
        <f>BC33/BC27</f>
        <v>1.322916666666667</v>
      </c>
      <c r="BD43" s="439"/>
      <c r="BE43" s="439"/>
      <c r="BF43" s="440"/>
      <c r="BG43" s="90"/>
      <c r="BH43" s="144"/>
      <c r="BI43" s="144"/>
      <c r="BJ43" s="144"/>
      <c r="BK43" s="144"/>
      <c r="BL43" s="144"/>
      <c r="BM43" s="47"/>
      <c r="BN43" s="47"/>
      <c r="BO43" s="47"/>
      <c r="BP43" s="47"/>
      <c r="BQ43" s="47"/>
      <c r="BR43" s="47"/>
      <c r="BS43" s="47"/>
      <c r="BT43" s="91"/>
      <c r="BU43" s="47"/>
      <c r="BV43" s="47"/>
      <c r="BW43" s="92"/>
      <c r="BX43" s="144"/>
      <c r="BY43" s="144"/>
      <c r="BZ43" s="145"/>
    </row>
    <row r="44" spans="1:78" ht="15.95" customHeight="1" thickBot="1">
      <c r="A44" s="93"/>
      <c r="B44" s="27"/>
      <c r="C44" s="27"/>
      <c r="D44" s="27"/>
      <c r="E44" s="27" t="s">
        <v>126</v>
      </c>
      <c r="F44" s="27"/>
      <c r="G44" s="27"/>
      <c r="H44" s="27"/>
      <c r="I44" s="27"/>
      <c r="J44" s="27"/>
      <c r="K44" s="141" t="s">
        <v>11</v>
      </c>
      <c r="L44" s="443">
        <f>AY44/0.3048^3</f>
        <v>384.61954599591184</v>
      </c>
      <c r="M44" s="444"/>
      <c r="N44" s="444">
        <f>BA44/0.3048^3</f>
        <v>503.64140103621321</v>
      </c>
      <c r="O44" s="444"/>
      <c r="P44" s="444">
        <f>BC44/0.3048^3</f>
        <v>531.97635600787169</v>
      </c>
      <c r="Q44" s="444"/>
      <c r="R44" s="444">
        <f>BE44/0.3048^3</f>
        <v>666.01764256103615</v>
      </c>
      <c r="S44" s="445"/>
      <c r="T44" s="94"/>
      <c r="U44" s="95"/>
      <c r="V44" s="27"/>
      <c r="W44" s="95"/>
      <c r="X44" s="27"/>
      <c r="Y44" s="95"/>
      <c r="Z44" s="95"/>
      <c r="AA44" s="95"/>
      <c r="AB44" s="95"/>
      <c r="AC44" s="95"/>
      <c r="AD44" s="96"/>
      <c r="AE44" s="95"/>
      <c r="AF44" s="95"/>
      <c r="AG44" s="95"/>
      <c r="AH44" s="95"/>
      <c r="AI44" s="95"/>
      <c r="AJ44" s="95"/>
      <c r="AK44" s="27"/>
      <c r="AL44" s="27"/>
      <c r="AM44" s="77"/>
      <c r="AN44" s="93"/>
      <c r="AO44" s="27"/>
      <c r="AP44" s="27"/>
      <c r="AQ44" s="27"/>
      <c r="AR44" s="27" t="s">
        <v>126</v>
      </c>
      <c r="AS44" s="27"/>
      <c r="AT44" s="27"/>
      <c r="AU44" s="27"/>
      <c r="AV44" s="27"/>
      <c r="AW44" s="27"/>
      <c r="AX44" s="141" t="s">
        <v>13</v>
      </c>
      <c r="AY44" s="443">
        <f>(AY27/1000)^2*PI()/4*AY33/1000</f>
        <v>10.891212680250925</v>
      </c>
      <c r="AZ44" s="444"/>
      <c r="BA44" s="444">
        <f>AY44+(2/3)*PI()*0.5*(AY27/1000/2)^3*2</f>
        <v>14.261536290522402</v>
      </c>
      <c r="BB44" s="444"/>
      <c r="BC44" s="444">
        <f>(BC27/1000)^2*PI()/4*BC33/1000</f>
        <v>15.063892863646082</v>
      </c>
      <c r="BD44" s="444"/>
      <c r="BE44" s="444">
        <f>BC44+(2/3)*PI()*0.5*(BC27/1000/2)^3*2</f>
        <v>18.859519411966353</v>
      </c>
      <c r="BF44" s="445"/>
      <c r="BG44" s="94"/>
      <c r="BH44" s="95"/>
      <c r="BI44" s="27"/>
      <c r="BJ44" s="95"/>
      <c r="BK44" s="27"/>
      <c r="BL44" s="95"/>
      <c r="BM44" s="95"/>
      <c r="BN44" s="95"/>
      <c r="BO44" s="95"/>
      <c r="BP44" s="95"/>
      <c r="BQ44" s="96"/>
      <c r="BR44" s="95"/>
      <c r="BS44" s="95"/>
      <c r="BT44" s="95"/>
      <c r="BU44" s="95"/>
      <c r="BV44" s="95"/>
      <c r="BW44" s="95"/>
      <c r="BX44" s="27"/>
      <c r="BY44" s="27"/>
      <c r="BZ44" s="77"/>
    </row>
    <row r="45" spans="1:78">
      <c r="A45" s="11"/>
      <c r="B45" s="144"/>
      <c r="C45" s="144"/>
      <c r="D45" s="144"/>
      <c r="E45" s="144" t="s">
        <v>133</v>
      </c>
      <c r="F45" s="144"/>
      <c r="G45" s="144" t="s">
        <v>134</v>
      </c>
      <c r="H45" s="144">
        <f>P27*0.3048</f>
        <v>2.4384000000000001</v>
      </c>
      <c r="I45" s="144"/>
      <c r="J45" s="144"/>
      <c r="K45" s="144"/>
      <c r="L45" s="144"/>
      <c r="M45" s="144"/>
      <c r="N45" s="32"/>
      <c r="O45" s="97"/>
      <c r="P45" s="97"/>
      <c r="Q45" s="97"/>
      <c r="R45" s="97"/>
      <c r="S45" s="97"/>
      <c r="T45" s="97"/>
      <c r="U45" s="92"/>
      <c r="V45" s="92"/>
      <c r="W45" s="92"/>
      <c r="X45" s="92"/>
      <c r="Y45" s="92"/>
      <c r="Z45" s="92"/>
      <c r="AA45" s="92"/>
      <c r="AB45" s="92"/>
      <c r="AC45" s="92"/>
      <c r="AD45" s="98"/>
      <c r="AE45" s="92"/>
      <c r="AF45" s="92"/>
      <c r="AG45" s="92"/>
      <c r="AH45" s="92"/>
      <c r="AI45" s="92"/>
      <c r="AJ45" s="47"/>
      <c r="AK45" s="47"/>
      <c r="AN45" s="11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32"/>
      <c r="BB45" s="97"/>
      <c r="BC45" s="97"/>
      <c r="BD45" s="97"/>
      <c r="BE45" s="97"/>
      <c r="BF45" s="97"/>
      <c r="BG45" s="97"/>
      <c r="BH45" s="92"/>
      <c r="BI45" s="92"/>
      <c r="BJ45" s="92"/>
      <c r="BK45" s="92"/>
      <c r="BL45" s="92"/>
      <c r="BM45" s="92"/>
      <c r="BN45" s="92"/>
      <c r="BO45" s="92"/>
      <c r="BP45" s="92"/>
      <c r="BQ45" s="98"/>
      <c r="BR45" s="92"/>
      <c r="BS45" s="92"/>
      <c r="BT45" s="92"/>
      <c r="BU45" s="92"/>
      <c r="BV45" s="92"/>
      <c r="BW45" s="47"/>
      <c r="BX45" s="47"/>
    </row>
    <row r="46" spans="1:78" ht="15.95" customHeight="1">
      <c r="A46" s="11"/>
      <c r="E46" s="1" t="s">
        <v>135</v>
      </c>
      <c r="G46" s="1" t="s">
        <v>134</v>
      </c>
      <c r="H46" s="1">
        <f>P33*0.3048</f>
        <v>3.2258000000000004</v>
      </c>
      <c r="N46" s="32"/>
      <c r="O46" s="97"/>
      <c r="P46" s="97"/>
      <c r="Q46" s="97"/>
      <c r="R46" s="97"/>
      <c r="S46" s="97"/>
      <c r="T46" s="97"/>
      <c r="Z46" s="47"/>
      <c r="AA46" s="47"/>
      <c r="AB46" s="47"/>
      <c r="AC46" s="47"/>
      <c r="AD46" s="441"/>
      <c r="AE46" s="441"/>
      <c r="AF46" s="441"/>
      <c r="AG46" s="441"/>
      <c r="AH46" s="441"/>
      <c r="AI46" s="441"/>
      <c r="AJ46" s="92"/>
      <c r="AK46" s="47"/>
      <c r="AN46" s="11"/>
      <c r="BA46" s="32"/>
      <c r="BB46" s="97"/>
      <c r="BC46" s="97"/>
      <c r="BD46" s="97"/>
      <c r="BE46" s="97"/>
      <c r="BF46" s="97"/>
      <c r="BG46" s="97"/>
      <c r="BM46" s="47"/>
      <c r="BN46" s="47"/>
      <c r="BO46" s="47"/>
      <c r="BP46" s="47"/>
      <c r="BQ46" s="441"/>
      <c r="BR46" s="441"/>
      <c r="BS46" s="441"/>
      <c r="BT46" s="441"/>
      <c r="BU46" s="441"/>
      <c r="BV46" s="441"/>
      <c r="BW46" s="92"/>
      <c r="BX46" s="47"/>
    </row>
    <row r="47" spans="1:78" ht="15.95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92"/>
      <c r="V47" s="92"/>
      <c r="W47" s="92"/>
      <c r="X47" s="92"/>
      <c r="Y47" s="92"/>
      <c r="Z47" s="92"/>
      <c r="AA47" s="92"/>
      <c r="AB47" s="92"/>
      <c r="AC47" s="92"/>
      <c r="AD47" s="98"/>
      <c r="AE47" s="92"/>
      <c r="AF47" s="92"/>
      <c r="AG47" s="92"/>
      <c r="AH47" s="92"/>
      <c r="AI47" s="92"/>
      <c r="AJ47" s="92"/>
      <c r="AK47" s="47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92"/>
      <c r="BI47" s="92"/>
      <c r="BJ47" s="92"/>
      <c r="BK47" s="92"/>
      <c r="BL47" s="92"/>
      <c r="BM47" s="92"/>
      <c r="BN47" s="92"/>
      <c r="BO47" s="92"/>
      <c r="BP47" s="92"/>
      <c r="BQ47" s="98"/>
      <c r="BR47" s="92"/>
      <c r="BS47" s="92"/>
      <c r="BT47" s="92"/>
      <c r="BU47" s="92"/>
      <c r="BV47" s="92"/>
      <c r="BW47" s="92"/>
      <c r="BX47" s="47"/>
    </row>
    <row r="48" spans="1:78">
      <c r="A48" s="11"/>
      <c r="B48" s="144"/>
      <c r="C48" s="144"/>
      <c r="D48" s="144"/>
      <c r="E48" s="144"/>
      <c r="F48" s="144"/>
      <c r="G48" s="144"/>
      <c r="H48" s="144"/>
      <c r="I48" s="144"/>
      <c r="J48" s="144" t="s">
        <v>127</v>
      </c>
      <c r="K48" s="144"/>
      <c r="L48" s="144"/>
      <c r="M48" s="144"/>
      <c r="N48" s="32"/>
      <c r="O48" s="99" t="s">
        <v>128</v>
      </c>
      <c r="P48" s="97"/>
      <c r="Q48" s="97"/>
      <c r="R48" s="97"/>
      <c r="S48" s="97"/>
      <c r="T48" s="97"/>
      <c r="U48" s="100"/>
      <c r="V48" s="442" t="s">
        <v>129</v>
      </c>
      <c r="W48" s="442"/>
      <c r="X48" s="442"/>
      <c r="Y48" s="442"/>
      <c r="Z48" s="442"/>
      <c r="AA48" s="442"/>
      <c r="AB48" s="47"/>
      <c r="AC48" s="92"/>
      <c r="AD48" s="98"/>
      <c r="AE48" s="92"/>
      <c r="AF48" s="92"/>
      <c r="AG48" s="92"/>
      <c r="AH48" s="92"/>
      <c r="AI48" s="92"/>
      <c r="AJ48" s="47"/>
      <c r="AK48" s="47"/>
      <c r="AL48" s="144"/>
      <c r="AM48" s="144"/>
      <c r="AN48" s="11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32"/>
      <c r="BB48" s="97"/>
      <c r="BC48" s="97"/>
      <c r="BD48" s="97"/>
      <c r="BE48" s="97"/>
      <c r="BF48" s="97"/>
      <c r="BG48" s="97"/>
      <c r="BH48" s="144"/>
      <c r="BI48" s="92"/>
      <c r="BJ48" s="92"/>
      <c r="BK48" s="92"/>
      <c r="BL48" s="92"/>
      <c r="BM48" s="92"/>
      <c r="BN48" s="92"/>
      <c r="BO48" s="92"/>
      <c r="BP48" s="92"/>
      <c r="BQ48" s="98"/>
      <c r="BR48" s="92"/>
      <c r="BS48" s="92"/>
      <c r="BT48" s="92"/>
      <c r="BU48" s="92"/>
      <c r="BV48" s="92"/>
      <c r="BW48" s="47"/>
      <c r="BX48" s="47"/>
    </row>
    <row r="49" spans="1:81" ht="15.95" customHeight="1">
      <c r="A49" s="11"/>
      <c r="B49" s="144"/>
      <c r="C49" s="144"/>
      <c r="D49" s="144"/>
      <c r="E49" s="144"/>
      <c r="F49" s="144"/>
      <c r="G49" s="144"/>
      <c r="H49" s="144"/>
      <c r="I49" s="144"/>
      <c r="J49" s="144" t="s">
        <v>130</v>
      </c>
      <c r="K49" s="144"/>
      <c r="L49" s="144"/>
      <c r="M49" s="144"/>
      <c r="N49" s="144"/>
      <c r="O49" s="144" t="s">
        <v>131</v>
      </c>
      <c r="P49" s="144"/>
      <c r="Q49" s="144"/>
      <c r="R49" s="144"/>
      <c r="S49" s="144"/>
      <c r="T49" s="101"/>
      <c r="U49" s="144"/>
      <c r="V49" s="101"/>
      <c r="W49" s="101"/>
      <c r="X49" s="102"/>
      <c r="Y49" s="103"/>
      <c r="Z49" s="100"/>
      <c r="AA49" s="100"/>
      <c r="AB49" s="100"/>
      <c r="AC49" s="47"/>
      <c r="AD49" s="47"/>
      <c r="AE49" s="47"/>
      <c r="AF49" s="47"/>
      <c r="AG49" s="91"/>
      <c r="AH49" s="47"/>
      <c r="AI49" s="47"/>
      <c r="AJ49" s="92"/>
      <c r="AK49" s="47"/>
      <c r="AL49" s="144"/>
      <c r="AM49" s="144"/>
      <c r="AN49" s="11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32"/>
      <c r="BB49" s="97"/>
      <c r="BC49" s="97"/>
      <c r="BD49" s="97"/>
      <c r="BE49" s="97"/>
      <c r="BF49" s="97"/>
      <c r="BG49" s="97"/>
      <c r="BH49" s="100"/>
      <c r="BI49" s="442"/>
      <c r="BJ49" s="442"/>
      <c r="BK49" s="442"/>
      <c r="BL49" s="442"/>
      <c r="BM49" s="442"/>
      <c r="BN49" s="442"/>
      <c r="BO49" s="47"/>
      <c r="BP49" s="47"/>
      <c r="BQ49" s="47"/>
      <c r="BR49" s="47"/>
      <c r="BS49" s="47"/>
      <c r="BT49" s="91"/>
      <c r="BU49" s="47"/>
      <c r="BV49" s="47"/>
      <c r="BW49" s="92"/>
      <c r="BX49" s="47"/>
    </row>
    <row r="50" spans="1:81" ht="15.95" customHeight="1">
      <c r="A50" s="101"/>
      <c r="B50" s="101"/>
      <c r="C50" s="101"/>
      <c r="D50" s="101"/>
      <c r="E50" s="101"/>
      <c r="F50" s="101"/>
      <c r="G50" s="101"/>
      <c r="H50" s="101"/>
      <c r="I50" s="101"/>
      <c r="J50" s="144"/>
      <c r="K50" s="144"/>
      <c r="L50" s="144"/>
      <c r="M50" s="23"/>
      <c r="N50" s="104"/>
      <c r="O50" s="105"/>
      <c r="P50" s="105"/>
      <c r="Q50" s="105"/>
      <c r="R50" s="105"/>
      <c r="S50" s="106"/>
      <c r="T50" s="106"/>
      <c r="U50" s="107"/>
      <c r="V50" s="144"/>
      <c r="W50" s="144"/>
      <c r="X50" s="446"/>
      <c r="Y50" s="446"/>
      <c r="Z50" s="447"/>
      <c r="AA50" s="447"/>
      <c r="AB50" s="447"/>
      <c r="AC50" s="100"/>
      <c r="AD50" s="100"/>
      <c r="AE50" s="100"/>
      <c r="AF50" s="100"/>
      <c r="AG50" s="100"/>
      <c r="AH50" s="100"/>
      <c r="AI50" s="100"/>
      <c r="AJ50" s="92"/>
      <c r="AK50" s="47"/>
      <c r="AL50" s="144"/>
      <c r="AM50" s="144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44"/>
      <c r="BI50" s="101"/>
      <c r="BJ50" s="101"/>
      <c r="BK50" s="102"/>
      <c r="BL50" s="103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92"/>
      <c r="BX50" s="47"/>
      <c r="BY50" s="144"/>
      <c r="BZ50" s="144"/>
      <c r="CA50" s="144"/>
      <c r="CB50" s="144"/>
      <c r="CC50" s="144"/>
    </row>
    <row r="51" spans="1:81">
      <c r="A51" s="144"/>
      <c r="B51" s="91"/>
      <c r="C51" s="47"/>
      <c r="D51" s="91"/>
      <c r="E51" s="47"/>
      <c r="F51" s="144"/>
      <c r="G51" s="144"/>
      <c r="H51" s="144"/>
      <c r="I51" s="144"/>
      <c r="J51" s="144"/>
      <c r="K51" s="144"/>
      <c r="L51" s="144"/>
      <c r="M51" s="23"/>
      <c r="N51" s="104"/>
      <c r="O51" s="105"/>
      <c r="P51" s="105"/>
      <c r="Q51" s="105"/>
      <c r="R51" s="105"/>
      <c r="S51" s="106"/>
      <c r="T51" s="106"/>
      <c r="U51" s="107"/>
      <c r="V51" s="144"/>
      <c r="W51" s="144"/>
      <c r="X51" s="446"/>
      <c r="Y51" s="446"/>
      <c r="Z51" s="447"/>
      <c r="AA51" s="447"/>
      <c r="AB51" s="447"/>
      <c r="AC51" s="108"/>
      <c r="AD51" s="109"/>
      <c r="AE51" s="100"/>
      <c r="AF51" s="100"/>
      <c r="AG51" s="100"/>
      <c r="AH51" s="100"/>
      <c r="AI51" s="100"/>
      <c r="AJ51" s="47"/>
      <c r="AK51" s="47"/>
      <c r="AL51" s="144"/>
      <c r="AM51" s="144"/>
      <c r="AN51" s="144"/>
      <c r="AO51" s="91"/>
      <c r="AP51" s="47"/>
      <c r="AQ51" s="91"/>
      <c r="AR51" s="47"/>
      <c r="AS51" s="144"/>
      <c r="AT51" s="144"/>
      <c r="AU51" s="144"/>
      <c r="AV51" s="144"/>
      <c r="AW51" s="144"/>
      <c r="AX51" s="144"/>
      <c r="AY51" s="144"/>
      <c r="AZ51" s="23"/>
      <c r="BA51" s="104"/>
      <c r="BB51" s="105"/>
      <c r="BC51" s="105"/>
      <c r="BD51" s="105"/>
      <c r="BE51" s="105"/>
      <c r="BF51" s="106"/>
      <c r="BG51" s="106"/>
      <c r="BH51" s="107"/>
      <c r="BI51" s="144"/>
      <c r="BJ51" s="144"/>
      <c r="BK51" s="446"/>
      <c r="BL51" s="446"/>
      <c r="BM51" s="447"/>
      <c r="BN51" s="447"/>
      <c r="BO51" s="447"/>
      <c r="BP51" s="108"/>
      <c r="BQ51" s="109"/>
      <c r="BR51" s="100"/>
      <c r="BS51" s="100"/>
      <c r="BT51" s="100"/>
      <c r="BU51" s="100"/>
      <c r="BV51" s="100"/>
      <c r="BW51" s="47"/>
      <c r="BX51" s="47"/>
      <c r="BY51" s="144"/>
      <c r="BZ51" s="144"/>
      <c r="CA51" s="144"/>
      <c r="CB51" s="144"/>
      <c r="CC51" s="144"/>
    </row>
    <row r="52" spans="1:81" s="2" customFormat="1" ht="15.75">
      <c r="A52" s="144"/>
      <c r="B52" s="91"/>
      <c r="C52" s="47"/>
      <c r="D52" s="91">
        <v>1</v>
      </c>
      <c r="E52" s="47" t="s">
        <v>138</v>
      </c>
      <c r="F52" s="144"/>
      <c r="G52" s="144"/>
      <c r="H52" s="144"/>
      <c r="I52" s="144"/>
      <c r="J52" s="144"/>
      <c r="K52" s="144"/>
      <c r="L52" s="144"/>
      <c r="M52" s="23"/>
      <c r="N52" s="104"/>
      <c r="O52" s="105"/>
      <c r="P52" s="105"/>
      <c r="Q52" s="105"/>
      <c r="R52" s="105"/>
      <c r="S52" s="106"/>
      <c r="T52" s="106"/>
      <c r="U52" s="144"/>
      <c r="V52" s="144"/>
      <c r="W52" s="144"/>
      <c r="X52" s="446"/>
      <c r="Y52" s="446"/>
      <c r="Z52" s="449"/>
      <c r="AA52" s="449"/>
      <c r="AB52" s="449"/>
      <c r="AC52" s="108"/>
      <c r="AD52" s="109"/>
      <c r="AE52" s="100"/>
      <c r="AF52" s="100"/>
      <c r="AG52" s="100"/>
      <c r="AH52" s="100"/>
      <c r="AI52" s="100"/>
      <c r="AJ52" s="100"/>
      <c r="AK52" s="100"/>
      <c r="AL52" s="100"/>
      <c r="AM52" s="100"/>
      <c r="AN52" s="144"/>
      <c r="AO52" s="91"/>
      <c r="AP52" s="47"/>
      <c r="AQ52" s="91"/>
      <c r="AR52" s="47"/>
      <c r="AS52" s="144"/>
      <c r="AT52" s="144"/>
      <c r="AU52" s="144"/>
      <c r="AV52" s="144"/>
      <c r="AW52" s="144"/>
      <c r="AX52" s="144"/>
      <c r="AY52" s="144"/>
      <c r="AZ52" s="23"/>
      <c r="BA52" s="104"/>
      <c r="BB52" s="105"/>
      <c r="BC52" s="105"/>
      <c r="BD52" s="105"/>
      <c r="BE52" s="105"/>
      <c r="BF52" s="106"/>
      <c r="BG52" s="106"/>
      <c r="BH52" s="144"/>
      <c r="BI52" s="144"/>
      <c r="BJ52" s="144"/>
      <c r="BK52" s="446"/>
      <c r="BL52" s="446"/>
      <c r="BM52" s="449"/>
      <c r="BN52" s="449"/>
      <c r="BO52" s="449"/>
      <c r="BP52" s="108"/>
      <c r="BQ52" s="109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1"/>
    </row>
    <row r="53" spans="1:81">
      <c r="A53" s="144"/>
      <c r="B53" s="91"/>
      <c r="C53" s="47"/>
      <c r="D53" s="133">
        <f>D52*2.2/3.2808</f>
        <v>0.67056815410875403</v>
      </c>
      <c r="E53" s="47" t="s">
        <v>139</v>
      </c>
      <c r="F53" s="144"/>
      <c r="G53" s="144"/>
      <c r="H53" s="144"/>
      <c r="I53" s="144"/>
      <c r="J53" s="144"/>
      <c r="K53" s="144"/>
      <c r="L53" s="144"/>
      <c r="M53" s="23"/>
      <c r="N53" s="104"/>
      <c r="O53" s="105"/>
      <c r="P53" s="105"/>
      <c r="Q53" s="105"/>
      <c r="R53" s="105"/>
      <c r="S53" s="106"/>
      <c r="T53" s="106"/>
      <c r="U53" s="144"/>
      <c r="V53" s="144"/>
      <c r="W53" s="144"/>
      <c r="X53" s="446"/>
      <c r="Y53" s="446"/>
      <c r="Z53" s="448"/>
      <c r="AA53" s="448"/>
      <c r="AB53" s="448"/>
      <c r="AC53" s="108"/>
      <c r="AD53" s="109"/>
      <c r="AE53" s="100"/>
      <c r="AF53" s="100"/>
      <c r="AG53" s="100"/>
      <c r="AH53" s="100"/>
      <c r="AI53" s="100"/>
      <c r="AJ53" s="100"/>
      <c r="AK53" s="100"/>
      <c r="AL53" s="100"/>
      <c r="AM53" s="100"/>
      <c r="AN53" s="144"/>
      <c r="AO53" s="91"/>
      <c r="AP53" s="47"/>
      <c r="AQ53" s="91"/>
      <c r="AR53" s="47"/>
      <c r="AS53" s="144"/>
      <c r="AT53" s="144"/>
      <c r="AU53" s="144"/>
      <c r="AV53" s="144"/>
      <c r="AW53" s="144"/>
      <c r="AX53" s="144"/>
      <c r="AY53" s="144"/>
      <c r="AZ53" s="23"/>
      <c r="BA53" s="104"/>
      <c r="BB53" s="105"/>
      <c r="BC53" s="105"/>
      <c r="BD53" s="105"/>
      <c r="BE53" s="105"/>
      <c r="BF53" s="106"/>
      <c r="BG53" s="106"/>
      <c r="BH53" s="144"/>
      <c r="BI53" s="144"/>
      <c r="BJ53" s="144"/>
      <c r="BK53" s="446"/>
      <c r="BL53" s="446"/>
      <c r="BM53" s="448"/>
      <c r="BN53" s="448"/>
      <c r="BO53" s="448"/>
      <c r="BP53" s="108"/>
      <c r="BQ53" s="109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44"/>
    </row>
    <row r="54" spans="1:81">
      <c r="A54" s="144"/>
      <c r="B54" s="91"/>
      <c r="C54" s="47"/>
      <c r="D54" s="91"/>
      <c r="E54" s="47"/>
      <c r="F54" s="144"/>
      <c r="G54" s="144"/>
      <c r="H54" s="144"/>
      <c r="I54" s="144"/>
      <c r="J54" s="144"/>
      <c r="K54" s="144"/>
      <c r="L54" s="144"/>
      <c r="M54" s="23"/>
      <c r="N54" s="104"/>
      <c r="O54" s="105"/>
      <c r="P54" s="105"/>
      <c r="Q54" s="105"/>
      <c r="R54" s="105"/>
      <c r="S54" s="106"/>
      <c r="T54" s="106"/>
      <c r="U54" s="144"/>
      <c r="V54" s="144"/>
      <c r="W54" s="144"/>
      <c r="X54" s="446"/>
      <c r="Y54" s="446"/>
      <c r="Z54" s="448"/>
      <c r="AA54" s="448"/>
      <c r="AB54" s="448"/>
      <c r="AC54" s="108"/>
      <c r="AD54" s="109"/>
      <c r="AE54" s="100"/>
      <c r="AF54" s="100"/>
      <c r="AG54" s="100"/>
      <c r="AH54" s="100"/>
      <c r="AI54" s="100"/>
      <c r="AJ54" s="100"/>
      <c r="AK54" s="100"/>
      <c r="AL54" s="100"/>
      <c r="AM54" s="100"/>
      <c r="AN54" s="144"/>
      <c r="AO54" s="91"/>
      <c r="AP54" s="47"/>
      <c r="AQ54" s="91"/>
      <c r="AR54" s="47"/>
      <c r="AS54" s="144"/>
      <c r="AT54" s="144"/>
      <c r="AU54" s="144"/>
      <c r="AV54" s="144"/>
      <c r="AW54" s="144"/>
      <c r="AX54" s="144"/>
      <c r="AY54" s="144"/>
      <c r="AZ54" s="23"/>
      <c r="BA54" s="104"/>
      <c r="BB54" s="105"/>
      <c r="BC54" s="105"/>
      <c r="BD54" s="105"/>
      <c r="BE54" s="105"/>
      <c r="BF54" s="106"/>
      <c r="BG54" s="106"/>
      <c r="BH54" s="144"/>
      <c r="BI54" s="144"/>
      <c r="BJ54" s="144"/>
      <c r="BK54" s="446"/>
      <c r="BL54" s="446"/>
      <c r="BM54" s="448"/>
      <c r="BN54" s="448"/>
      <c r="BO54" s="448"/>
      <c r="BP54" s="108"/>
      <c r="BQ54" s="109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44"/>
    </row>
    <row r="55" spans="1:81">
      <c r="A55" s="144"/>
      <c r="B55" s="91"/>
      <c r="C55" s="91"/>
      <c r="D55" s="91"/>
      <c r="E55" s="47"/>
      <c r="F55" s="144"/>
      <c r="G55" s="144"/>
      <c r="H55" s="144"/>
      <c r="I55" s="144"/>
      <c r="J55" s="144"/>
      <c r="K55" s="144"/>
      <c r="L55" s="144"/>
      <c r="M55" s="23"/>
      <c r="N55" s="104"/>
      <c r="O55" s="105"/>
      <c r="P55" s="105"/>
      <c r="Q55" s="105"/>
      <c r="R55" s="105"/>
      <c r="S55" s="106"/>
      <c r="T55" s="106"/>
      <c r="U55" s="110"/>
      <c r="V55" s="110"/>
      <c r="W55" s="110"/>
      <c r="X55" s="446"/>
      <c r="Y55" s="446"/>
      <c r="Z55" s="448"/>
      <c r="AA55" s="448"/>
      <c r="AB55" s="448"/>
      <c r="AC55" s="108"/>
      <c r="AD55" s="111"/>
      <c r="AE55" s="100"/>
      <c r="AF55" s="100"/>
      <c r="AG55" s="100"/>
      <c r="AH55" s="100"/>
      <c r="AI55" s="100"/>
      <c r="AJ55" s="100"/>
      <c r="AK55" s="100"/>
      <c r="AL55" s="100"/>
      <c r="AM55" s="100"/>
      <c r="AN55" s="144"/>
      <c r="AO55" s="91"/>
      <c r="AP55" s="91"/>
      <c r="AQ55" s="91"/>
      <c r="AR55" s="47"/>
      <c r="AS55" s="144"/>
      <c r="AT55" s="144"/>
      <c r="AU55" s="144"/>
      <c r="AV55" s="144"/>
      <c r="AW55" s="144"/>
      <c r="AX55" s="144"/>
      <c r="AY55" s="144"/>
      <c r="AZ55" s="23"/>
      <c r="BA55" s="104"/>
      <c r="BB55" s="105"/>
      <c r="BC55" s="105"/>
      <c r="BD55" s="105"/>
      <c r="BE55" s="105"/>
      <c r="BF55" s="106"/>
      <c r="BG55" s="106"/>
      <c r="BH55" s="110"/>
      <c r="BI55" s="110"/>
      <c r="BJ55" s="110"/>
      <c r="BK55" s="446"/>
      <c r="BL55" s="446"/>
      <c r="BM55" s="448"/>
      <c r="BN55" s="448"/>
      <c r="BO55" s="448"/>
      <c r="BP55" s="108"/>
      <c r="BQ55" s="111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44"/>
    </row>
    <row r="56" spans="1:81">
      <c r="A56" s="144"/>
      <c r="B56" s="91"/>
      <c r="C56" s="47" t="s">
        <v>140</v>
      </c>
      <c r="D56" s="47"/>
      <c r="E56" s="91"/>
      <c r="F56" s="144">
        <v>10000</v>
      </c>
      <c r="G56" s="144" t="s">
        <v>138</v>
      </c>
      <c r="H56" s="144"/>
      <c r="I56" s="144">
        <f>F56*$D$53</f>
        <v>6705.6815410875406</v>
      </c>
      <c r="J56" s="144"/>
      <c r="K56" s="144" t="s">
        <v>139</v>
      </c>
      <c r="L56" s="144"/>
      <c r="M56" s="23"/>
      <c r="N56" s="104"/>
      <c r="O56" s="105"/>
      <c r="P56" s="105"/>
      <c r="Q56" s="105"/>
      <c r="R56" s="105"/>
      <c r="S56" s="106"/>
      <c r="T56" s="106"/>
      <c r="U56" s="110"/>
      <c r="V56" s="110"/>
      <c r="W56" s="110"/>
      <c r="X56" s="110"/>
      <c r="Y56" s="110"/>
      <c r="Z56" s="110"/>
      <c r="AA56" s="110"/>
      <c r="AB56" s="110"/>
      <c r="AC56" s="110"/>
      <c r="AD56" s="112"/>
      <c r="AE56" s="110"/>
      <c r="AF56" s="110"/>
      <c r="AG56" s="113"/>
      <c r="AH56" s="144"/>
      <c r="AI56" s="144"/>
      <c r="AJ56" s="100"/>
      <c r="AK56" s="100"/>
      <c r="AL56" s="100"/>
      <c r="AM56" s="100"/>
      <c r="AN56" s="144"/>
      <c r="AO56" s="91"/>
      <c r="AP56" s="47"/>
      <c r="AQ56" s="47"/>
      <c r="AR56" s="91"/>
      <c r="AS56" s="144"/>
      <c r="AT56" s="144"/>
      <c r="AU56" s="144"/>
      <c r="AV56" s="144"/>
      <c r="AW56" s="144"/>
      <c r="AX56" s="144"/>
      <c r="AY56" s="144"/>
      <c r="AZ56" s="23"/>
      <c r="BA56" s="104"/>
      <c r="BB56" s="105"/>
      <c r="BC56" s="105"/>
      <c r="BD56" s="105"/>
      <c r="BE56" s="105"/>
      <c r="BF56" s="106"/>
      <c r="BG56" s="106"/>
      <c r="BH56" s="110"/>
      <c r="BI56" s="110"/>
      <c r="BJ56" s="110"/>
      <c r="BK56" s="110"/>
      <c r="BL56" s="110"/>
      <c r="BM56" s="110"/>
      <c r="BN56" s="110"/>
      <c r="BO56" s="110"/>
      <c r="BP56" s="110"/>
      <c r="BQ56" s="112"/>
      <c r="BR56" s="110"/>
      <c r="BS56" s="110"/>
      <c r="BT56" s="113"/>
      <c r="BU56" s="144"/>
      <c r="BV56" s="144"/>
      <c r="BW56" s="100"/>
      <c r="BX56" s="100"/>
      <c r="BY56" s="100"/>
      <c r="BZ56" s="100"/>
      <c r="CA56" s="100"/>
      <c r="CB56" s="100"/>
      <c r="CC56" s="144"/>
    </row>
    <row r="57" spans="1:81">
      <c r="A57" s="144"/>
      <c r="B57" s="91"/>
      <c r="C57" s="91" t="s">
        <v>141</v>
      </c>
      <c r="D57" s="47"/>
      <c r="E57" s="91"/>
      <c r="F57" s="144">
        <v>1500</v>
      </c>
      <c r="G57" s="144" t="s">
        <v>138</v>
      </c>
      <c r="H57" s="144"/>
      <c r="I57" s="144">
        <f>F57*$D$53</f>
        <v>1005.852231163131</v>
      </c>
      <c r="J57" s="144"/>
      <c r="K57" s="144" t="s">
        <v>139</v>
      </c>
      <c r="M57" s="23"/>
      <c r="N57" s="104"/>
      <c r="O57" s="105"/>
      <c r="P57" s="105"/>
      <c r="Q57" s="105"/>
      <c r="R57" s="105"/>
      <c r="S57" s="106"/>
      <c r="T57" s="106"/>
      <c r="U57" s="110"/>
      <c r="V57" s="110"/>
      <c r="W57" s="110"/>
      <c r="X57" s="110"/>
      <c r="Y57" s="110"/>
      <c r="Z57" s="110"/>
      <c r="AA57" s="110"/>
      <c r="AB57" s="110"/>
      <c r="AC57" s="110"/>
      <c r="AD57" s="112"/>
      <c r="AE57" s="110"/>
      <c r="AF57" s="110"/>
      <c r="AG57" s="113"/>
      <c r="AH57" s="144"/>
      <c r="AI57" s="144"/>
      <c r="AJ57" s="100"/>
      <c r="AK57" s="100"/>
      <c r="AL57" s="100"/>
      <c r="AM57" s="100"/>
      <c r="AN57" s="144"/>
      <c r="AO57" s="91"/>
      <c r="AP57" s="91"/>
      <c r="AQ57" s="47"/>
      <c r="AR57" s="91"/>
      <c r="AS57" s="144"/>
      <c r="AT57" s="144"/>
      <c r="AU57" s="144"/>
      <c r="AV57" s="144"/>
      <c r="AW57" s="144"/>
      <c r="AX57" s="144"/>
      <c r="AY57" s="144"/>
      <c r="AZ57" s="23"/>
      <c r="BA57" s="104"/>
      <c r="BB57" s="105"/>
      <c r="BC57" s="105"/>
      <c r="BD57" s="105"/>
      <c r="BE57" s="105"/>
      <c r="BF57" s="106"/>
      <c r="BG57" s="106"/>
      <c r="BH57" s="110"/>
      <c r="BI57" s="110"/>
      <c r="BJ57" s="110"/>
      <c r="BK57" s="110"/>
      <c r="BL57" s="110"/>
      <c r="BM57" s="110"/>
      <c r="BN57" s="110"/>
      <c r="BO57" s="110"/>
      <c r="BP57" s="110"/>
      <c r="BQ57" s="112"/>
      <c r="BR57" s="110"/>
      <c r="BS57" s="110"/>
      <c r="BT57" s="113"/>
      <c r="BU57" s="144"/>
      <c r="BV57" s="144"/>
      <c r="BW57" s="100"/>
      <c r="BX57" s="100"/>
      <c r="BY57" s="100"/>
      <c r="BZ57" s="100"/>
      <c r="CA57" s="100"/>
      <c r="CB57" s="100"/>
      <c r="CC57" s="144"/>
    </row>
    <row r="58" spans="1:81">
      <c r="A58" s="144"/>
      <c r="B58" s="91"/>
      <c r="C58" s="91" t="s">
        <v>142</v>
      </c>
      <c r="D58" s="91"/>
      <c r="E58" s="91"/>
      <c r="F58" s="144">
        <v>3750</v>
      </c>
      <c r="G58" s="144" t="s">
        <v>138</v>
      </c>
      <c r="H58" s="144"/>
      <c r="I58" s="144">
        <f>F58*$D$53</f>
        <v>2514.6305779078275</v>
      </c>
      <c r="J58" s="144"/>
      <c r="K58" s="144" t="s">
        <v>139</v>
      </c>
      <c r="L58" s="144"/>
      <c r="M58" s="23"/>
      <c r="N58" s="104"/>
      <c r="O58" s="105"/>
      <c r="P58" s="105"/>
      <c r="Q58" s="105"/>
      <c r="R58" s="105"/>
      <c r="S58" s="106"/>
      <c r="T58" s="106"/>
      <c r="U58" s="110"/>
      <c r="V58" s="110"/>
      <c r="W58" s="110"/>
      <c r="X58" s="110"/>
      <c r="Y58" s="110"/>
      <c r="Z58" s="110"/>
      <c r="AA58" s="110"/>
      <c r="AB58" s="110"/>
      <c r="AC58" s="110"/>
      <c r="AD58" s="112"/>
      <c r="AE58" s="110"/>
      <c r="AF58" s="110"/>
      <c r="AG58" s="113"/>
      <c r="AH58" s="144"/>
      <c r="AI58" s="144"/>
      <c r="AJ58" s="144"/>
      <c r="AK58" s="144"/>
      <c r="AL58" s="144"/>
      <c r="AM58" s="144"/>
      <c r="AN58" s="144"/>
      <c r="AO58" s="91"/>
      <c r="AP58" s="91"/>
      <c r="AQ58" s="91"/>
      <c r="AR58" s="91"/>
      <c r="AS58" s="144"/>
      <c r="AT58" s="144"/>
      <c r="AU58" s="144"/>
      <c r="AV58" s="144"/>
      <c r="AW58" s="144"/>
      <c r="AX58" s="144"/>
      <c r="AY58" s="144"/>
      <c r="AZ58" s="23"/>
      <c r="BA58" s="104"/>
      <c r="BB58" s="105"/>
      <c r="BC58" s="105"/>
      <c r="BD58" s="105"/>
      <c r="BE58" s="105"/>
      <c r="BF58" s="106"/>
      <c r="BG58" s="106"/>
      <c r="BH58" s="110"/>
      <c r="BI58" s="110"/>
      <c r="BJ58" s="110"/>
      <c r="BK58" s="110"/>
      <c r="BL58" s="110"/>
      <c r="BM58" s="110"/>
      <c r="BN58" s="110"/>
      <c r="BO58" s="110"/>
      <c r="BP58" s="110"/>
      <c r="BQ58" s="112"/>
      <c r="BR58" s="110"/>
      <c r="BS58" s="110"/>
      <c r="BT58" s="113"/>
      <c r="BU58" s="144"/>
      <c r="BV58" s="144"/>
      <c r="BW58" s="144"/>
      <c r="BX58" s="144"/>
      <c r="BY58" s="144"/>
      <c r="BZ58" s="144"/>
      <c r="CA58" s="144"/>
      <c r="CB58" s="144"/>
      <c r="CC58" s="144"/>
    </row>
    <row r="59" spans="1:81" ht="15.75">
      <c r="A59" s="144"/>
      <c r="B59" s="114"/>
      <c r="C59" s="144"/>
      <c r="D59" s="144"/>
      <c r="E59" s="144"/>
      <c r="F59" s="144">
        <v>1.2</v>
      </c>
      <c r="G59" s="144" t="s">
        <v>87</v>
      </c>
      <c r="H59" s="144"/>
      <c r="I59" s="1">
        <f>F59*3.28</f>
        <v>3.9359999999999995</v>
      </c>
      <c r="K59" s="1" t="s">
        <v>143</v>
      </c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1"/>
      <c r="AH59" s="144"/>
      <c r="AI59" s="144"/>
      <c r="AJ59" s="144"/>
      <c r="AK59" s="144"/>
      <c r="AL59" s="144"/>
      <c r="AM59" s="144"/>
      <c r="AN59" s="144"/>
      <c r="AO59" s="11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W59" s="144"/>
      <c r="BX59" s="144"/>
      <c r="BY59" s="144"/>
      <c r="BZ59" s="144"/>
      <c r="CA59" s="144"/>
      <c r="CB59" s="144"/>
      <c r="CC59" s="144"/>
    </row>
    <row r="60" spans="1:81" ht="15.75">
      <c r="A60" s="114"/>
      <c r="B60" s="11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1"/>
      <c r="AH60" s="144"/>
      <c r="AI60" s="144"/>
      <c r="AJ60" s="144"/>
      <c r="AK60" s="144"/>
      <c r="AL60" s="144"/>
      <c r="AM60" s="144"/>
      <c r="AN60" s="114"/>
      <c r="AO60" s="11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W60" s="144"/>
      <c r="BX60" s="144"/>
      <c r="BY60" s="144"/>
      <c r="BZ60" s="144"/>
      <c r="CA60" s="144"/>
      <c r="CB60" s="144"/>
      <c r="CC60" s="144"/>
    </row>
    <row r="61" spans="1:81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350"/>
      <c r="P61" s="350"/>
      <c r="Q61" s="350"/>
      <c r="R61" s="350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1"/>
      <c r="AH61" s="144"/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350"/>
      <c r="BC61" s="350"/>
      <c r="BD61" s="350"/>
      <c r="BE61" s="350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</row>
    <row r="62" spans="1:81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350"/>
      <c r="P62" s="350"/>
      <c r="Q62" s="350"/>
      <c r="R62" s="350"/>
      <c r="S62" s="134"/>
      <c r="T62" s="13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1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350"/>
      <c r="BC62" s="350"/>
      <c r="BD62" s="350"/>
      <c r="BE62" s="350"/>
      <c r="BF62" s="134"/>
      <c r="BG62" s="134"/>
      <c r="BH62" s="144"/>
      <c r="BI62" s="144"/>
      <c r="BJ62" s="144"/>
      <c r="BK62" s="144"/>
      <c r="BL62" s="144"/>
      <c r="BM62" s="144"/>
      <c r="BN62" s="144"/>
      <c r="BO62" s="144"/>
    </row>
    <row r="63" spans="1:81">
      <c r="A63" s="144"/>
      <c r="B63" s="32"/>
      <c r="C63" s="116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1"/>
      <c r="AH63" s="144"/>
      <c r="AI63" s="144"/>
      <c r="AJ63" s="144"/>
      <c r="AK63" s="144"/>
      <c r="AL63" s="144"/>
      <c r="AM63" s="144"/>
      <c r="AN63" s="144"/>
      <c r="AO63" s="32"/>
      <c r="AP63" s="116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4"/>
      <c r="BO63" s="144"/>
    </row>
    <row r="64" spans="1:81">
      <c r="A64" s="144"/>
      <c r="B64" s="32"/>
      <c r="C64" s="144"/>
      <c r="D64" s="116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206"/>
      <c r="P64" s="206"/>
      <c r="Q64" s="206"/>
      <c r="R64" s="206"/>
      <c r="S64" s="135"/>
      <c r="T64" s="135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1"/>
      <c r="AH64" s="144"/>
      <c r="AI64" s="144"/>
      <c r="AJ64" s="144"/>
      <c r="AK64" s="144"/>
      <c r="AL64" s="144"/>
      <c r="AM64" s="144"/>
      <c r="AN64" s="144"/>
      <c r="AO64" s="32"/>
      <c r="AP64" s="144"/>
      <c r="AQ64" s="116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206"/>
      <c r="BC64" s="206"/>
      <c r="BD64" s="206"/>
      <c r="BE64" s="206"/>
      <c r="BF64" s="135"/>
      <c r="BG64" s="135"/>
      <c r="BH64" s="144"/>
      <c r="BI64" s="144"/>
      <c r="BJ64" s="144"/>
      <c r="BK64" s="144"/>
      <c r="BL64" s="144"/>
      <c r="BM64" s="144"/>
      <c r="BN64" s="144"/>
      <c r="BO64" s="144"/>
    </row>
    <row r="65" spans="1:82">
      <c r="A65" s="144"/>
      <c r="B65" s="32"/>
      <c r="C65" s="116"/>
      <c r="D65" s="116"/>
      <c r="E65" s="116"/>
      <c r="F65" s="116"/>
      <c r="G65" s="116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1"/>
      <c r="AH65" s="144"/>
      <c r="AI65" s="144"/>
      <c r="AJ65" s="144"/>
      <c r="AK65" s="144"/>
      <c r="AL65" s="144"/>
      <c r="AM65" s="144"/>
      <c r="AN65" s="144"/>
      <c r="AO65" s="32"/>
      <c r="AP65" s="116"/>
      <c r="AQ65" s="116"/>
      <c r="AR65" s="116"/>
      <c r="AS65" s="116"/>
      <c r="AT65" s="116"/>
      <c r="AU65" s="144"/>
      <c r="AV65" s="144"/>
      <c r="AW65" s="144"/>
      <c r="AX65" s="144"/>
      <c r="AY65" s="144"/>
      <c r="AZ65" s="144"/>
      <c r="BA65" s="144"/>
      <c r="BB65" s="144"/>
      <c r="BC65" s="144"/>
      <c r="BD65" s="144"/>
      <c r="BE65" s="144"/>
      <c r="BF65" s="144"/>
      <c r="BG65" s="144"/>
      <c r="BH65" s="144"/>
      <c r="BI65" s="144"/>
      <c r="BJ65" s="144"/>
      <c r="BK65" s="144"/>
      <c r="BL65" s="144"/>
      <c r="BM65" s="144"/>
      <c r="BN65" s="144"/>
      <c r="BO65" s="144"/>
    </row>
    <row r="66" spans="1:82">
      <c r="A66" s="144"/>
      <c r="B66" s="32"/>
      <c r="C66" s="116"/>
      <c r="D66" s="116"/>
      <c r="E66" s="116"/>
      <c r="F66" s="116"/>
      <c r="G66" s="116"/>
      <c r="H66" s="144"/>
      <c r="I66" s="144"/>
      <c r="J66" s="144"/>
      <c r="K66" s="144"/>
      <c r="L66" s="144"/>
      <c r="M66" s="144"/>
      <c r="N66" s="144"/>
      <c r="O66" s="450"/>
      <c r="P66" s="450"/>
      <c r="Q66" s="450"/>
      <c r="R66" s="450"/>
      <c r="S66" s="135"/>
      <c r="T66" s="135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1"/>
      <c r="AH66" s="144"/>
      <c r="AI66" s="144"/>
      <c r="AJ66" s="144"/>
      <c r="AK66" s="144"/>
      <c r="AL66" s="144"/>
      <c r="AM66" s="144"/>
      <c r="AN66" s="144"/>
      <c r="AO66" s="32"/>
      <c r="AP66" s="116"/>
      <c r="AQ66" s="116"/>
      <c r="AR66" s="116"/>
      <c r="AS66" s="116"/>
      <c r="AT66" s="116"/>
      <c r="AU66" s="144"/>
      <c r="AV66" s="144"/>
      <c r="AW66" s="144"/>
      <c r="AX66" s="144"/>
      <c r="AY66" s="144"/>
      <c r="AZ66" s="144"/>
      <c r="BA66" s="144"/>
      <c r="BB66" s="450"/>
      <c r="BC66" s="450"/>
      <c r="BD66" s="450"/>
      <c r="BE66" s="450"/>
      <c r="BF66" s="135"/>
      <c r="BG66" s="135"/>
      <c r="BH66" s="144"/>
      <c r="BI66" s="144"/>
      <c r="BJ66" s="144"/>
      <c r="BK66" s="144"/>
      <c r="BL66" s="144"/>
      <c r="BM66" s="144"/>
      <c r="BN66" s="144"/>
      <c r="BO66" s="144"/>
    </row>
    <row r="67" spans="1:82">
      <c r="A67" s="144"/>
      <c r="B67" s="32"/>
      <c r="C67" s="116"/>
      <c r="D67" s="116"/>
      <c r="E67" s="116"/>
      <c r="F67" s="116"/>
      <c r="G67" s="116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1"/>
      <c r="AH67" s="144"/>
      <c r="AI67" s="144"/>
      <c r="AJ67" s="144"/>
      <c r="AK67" s="144"/>
      <c r="AL67" s="144"/>
      <c r="AM67" s="144"/>
      <c r="AN67" s="144"/>
      <c r="AO67" s="32"/>
      <c r="AP67" s="116"/>
      <c r="AQ67" s="116"/>
      <c r="AR67" s="116"/>
      <c r="AS67" s="116"/>
      <c r="AT67" s="116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/>
      <c r="BO67" s="144"/>
    </row>
    <row r="68" spans="1:82">
      <c r="A68" s="144"/>
      <c r="B68" s="32"/>
      <c r="C68" s="144"/>
      <c r="D68" s="116"/>
      <c r="E68" s="116"/>
      <c r="F68" s="116"/>
      <c r="G68" s="116"/>
      <c r="H68" s="144"/>
      <c r="I68" s="144"/>
      <c r="J68" s="144"/>
      <c r="K68" s="144"/>
      <c r="L68" s="144"/>
      <c r="M68" s="144"/>
      <c r="N68" s="144"/>
      <c r="O68" s="450"/>
      <c r="P68" s="450"/>
      <c r="Q68" s="450"/>
      <c r="R68" s="450"/>
      <c r="S68" s="135"/>
      <c r="T68" s="135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1"/>
      <c r="AH68" s="144"/>
      <c r="AI68" s="144"/>
      <c r="AJ68" s="144"/>
      <c r="AK68" s="144"/>
      <c r="AL68" s="144"/>
      <c r="AM68" s="144"/>
      <c r="AN68" s="144"/>
      <c r="AO68" s="32"/>
      <c r="AP68" s="144"/>
      <c r="AQ68" s="116"/>
      <c r="AR68" s="116"/>
      <c r="AS68" s="116"/>
      <c r="AT68" s="116"/>
      <c r="AU68" s="144"/>
      <c r="AV68" s="144"/>
      <c r="AW68" s="144"/>
      <c r="AX68" s="144"/>
      <c r="AY68" s="144"/>
      <c r="AZ68" s="144"/>
      <c r="BA68" s="144"/>
      <c r="BB68" s="450"/>
      <c r="BC68" s="450"/>
      <c r="BD68" s="450"/>
      <c r="BE68" s="450"/>
      <c r="BF68" s="135"/>
      <c r="BG68" s="135"/>
      <c r="BH68" s="144"/>
      <c r="BI68" s="144"/>
      <c r="BJ68" s="144"/>
      <c r="BK68" s="144"/>
      <c r="BL68" s="144"/>
      <c r="BM68" s="144"/>
      <c r="BN68" s="144"/>
      <c r="BO68" s="144"/>
      <c r="CB68" s="144"/>
      <c r="CC68" s="144"/>
      <c r="CD68" s="144"/>
    </row>
    <row r="69" spans="1:82">
      <c r="A69" s="144"/>
      <c r="B69" s="32"/>
      <c r="C69" s="116"/>
      <c r="D69" s="144"/>
      <c r="E69" s="116"/>
      <c r="F69" s="116"/>
      <c r="G69" s="116"/>
      <c r="H69" s="144"/>
      <c r="I69" s="144"/>
      <c r="J69" s="144"/>
      <c r="K69" s="144"/>
      <c r="L69" s="144"/>
      <c r="M69" s="144"/>
      <c r="N69" s="144"/>
      <c r="O69" s="117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1"/>
      <c r="AH69" s="144"/>
      <c r="AI69" s="144"/>
      <c r="AJ69" s="144"/>
      <c r="AK69" s="144"/>
      <c r="AL69" s="144"/>
      <c r="AM69" s="144"/>
      <c r="AN69" s="144"/>
      <c r="AO69" s="32"/>
      <c r="AP69" s="116"/>
      <c r="AQ69" s="144"/>
      <c r="AR69" s="116"/>
      <c r="AS69" s="116"/>
      <c r="AT69" s="116"/>
      <c r="AU69" s="144"/>
      <c r="AV69" s="144"/>
      <c r="AW69" s="144"/>
      <c r="AX69" s="144"/>
      <c r="AY69" s="144"/>
      <c r="AZ69" s="144"/>
      <c r="BA69" s="144"/>
      <c r="BB69" s="117"/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4"/>
      <c r="BO69" s="144"/>
      <c r="CB69" s="144"/>
      <c r="CC69" s="144"/>
      <c r="CD69" s="144"/>
    </row>
    <row r="70" spans="1:82">
      <c r="A70" s="144"/>
      <c r="B70" s="32"/>
      <c r="C70" s="116"/>
      <c r="D70" s="116"/>
      <c r="E70" s="116"/>
      <c r="F70" s="116"/>
      <c r="G70" s="116"/>
      <c r="H70" s="144"/>
      <c r="I70" s="144"/>
      <c r="J70" s="144"/>
      <c r="K70" s="144"/>
      <c r="L70" s="144"/>
      <c r="M70" s="144"/>
      <c r="N70" s="144"/>
      <c r="O70" s="450"/>
      <c r="P70" s="450"/>
      <c r="Q70" s="450"/>
      <c r="R70" s="450"/>
      <c r="S70" s="135"/>
      <c r="T70" s="135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1"/>
      <c r="AH70" s="144"/>
      <c r="AI70" s="144"/>
      <c r="AJ70" s="144"/>
      <c r="AK70" s="144"/>
      <c r="AL70" s="144"/>
      <c r="AM70" s="144"/>
      <c r="AN70" s="144"/>
      <c r="AO70" s="32"/>
      <c r="AP70" s="116"/>
      <c r="AQ70" s="116"/>
      <c r="AR70" s="116"/>
      <c r="AS70" s="116"/>
      <c r="AT70" s="116"/>
      <c r="AU70" s="144"/>
      <c r="AV70" s="144"/>
      <c r="AW70" s="144"/>
      <c r="AX70" s="144"/>
      <c r="AY70" s="144"/>
      <c r="AZ70" s="144"/>
      <c r="BA70" s="144"/>
      <c r="BB70" s="450"/>
      <c r="BC70" s="450"/>
      <c r="BD70" s="450"/>
      <c r="BE70" s="450"/>
      <c r="BF70" s="135"/>
      <c r="BG70" s="135"/>
      <c r="BH70" s="144"/>
      <c r="BI70" s="144"/>
      <c r="BJ70" s="144"/>
      <c r="BK70" s="144"/>
      <c r="BL70" s="144"/>
      <c r="BM70" s="144"/>
      <c r="BN70" s="144"/>
      <c r="BO70" s="144"/>
      <c r="CB70" s="144"/>
      <c r="CC70" s="144"/>
      <c r="CD70" s="144"/>
    </row>
    <row r="71" spans="1:82">
      <c r="A71" s="144"/>
      <c r="B71" s="32"/>
      <c r="C71" s="144"/>
      <c r="D71" s="116"/>
      <c r="E71" s="116"/>
      <c r="F71" s="116"/>
      <c r="G71" s="116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1"/>
      <c r="AH71" s="144"/>
      <c r="AI71" s="144"/>
      <c r="AJ71" s="144"/>
      <c r="AK71" s="144"/>
      <c r="AL71" s="144"/>
      <c r="AM71" s="144"/>
      <c r="AN71" s="144"/>
      <c r="AO71" s="32"/>
      <c r="AP71" s="144"/>
      <c r="AQ71" s="116"/>
      <c r="AR71" s="116"/>
      <c r="AS71" s="116"/>
      <c r="AT71" s="116"/>
      <c r="AU71" s="144"/>
      <c r="AV71" s="144"/>
      <c r="AW71" s="144"/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CB71" s="144"/>
      <c r="CC71" s="144"/>
      <c r="CD71" s="144"/>
    </row>
    <row r="72" spans="1:82">
      <c r="A72" s="144"/>
      <c r="B72" s="144"/>
      <c r="C72" s="116"/>
      <c r="D72" s="144"/>
      <c r="E72" s="116"/>
      <c r="F72" s="116"/>
      <c r="G72" s="116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1"/>
      <c r="AH72" s="144"/>
      <c r="AI72" s="144"/>
      <c r="AJ72" s="144"/>
      <c r="AK72" s="144"/>
      <c r="AL72" s="144"/>
      <c r="AM72" s="144"/>
      <c r="AN72" s="144"/>
      <c r="AO72" s="144"/>
      <c r="AP72" s="116"/>
      <c r="AQ72" s="144"/>
      <c r="AR72" s="116"/>
      <c r="AS72" s="116"/>
      <c r="AT72" s="116"/>
      <c r="AU72" s="144"/>
      <c r="AV72" s="144"/>
      <c r="AW72" s="144"/>
      <c r="AX72" s="144"/>
      <c r="AY72" s="144"/>
      <c r="AZ72" s="144"/>
      <c r="BA72" s="144"/>
      <c r="BB72" s="144"/>
      <c r="BC72" s="144"/>
      <c r="BD72" s="144"/>
      <c r="BE72" s="144"/>
      <c r="BF72" s="144"/>
      <c r="BG72" s="144"/>
      <c r="BH72" s="144"/>
      <c r="BI72" s="144"/>
      <c r="BJ72" s="144"/>
      <c r="BK72" s="144"/>
      <c r="BL72" s="144"/>
      <c r="BM72" s="144"/>
      <c r="BN72" s="144"/>
      <c r="BO72" s="144"/>
      <c r="CB72" s="144"/>
      <c r="CC72" s="144"/>
      <c r="CD72" s="144"/>
    </row>
    <row r="73" spans="1:82">
      <c r="A73" s="144"/>
      <c r="B73" s="144"/>
      <c r="C73" s="116"/>
      <c r="D73" s="116"/>
      <c r="E73" s="116"/>
      <c r="F73" s="116"/>
      <c r="G73" s="116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1"/>
      <c r="AH73" s="144"/>
      <c r="AI73" s="144"/>
      <c r="AJ73" s="144"/>
      <c r="AK73" s="144"/>
      <c r="AL73" s="144"/>
      <c r="AM73" s="144"/>
      <c r="AN73" s="144"/>
      <c r="AO73" s="144"/>
      <c r="AP73" s="116"/>
      <c r="AQ73" s="116"/>
      <c r="AR73" s="116"/>
      <c r="AS73" s="116"/>
      <c r="AT73" s="116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</row>
    <row r="74" spans="1:82">
      <c r="A74" s="144"/>
      <c r="B74" s="144"/>
      <c r="C74" s="144"/>
      <c r="D74" s="116"/>
      <c r="E74" s="116"/>
      <c r="F74" s="116"/>
      <c r="G74" s="116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1"/>
      <c r="AH74" s="144"/>
      <c r="AI74" s="144"/>
      <c r="AJ74" s="144"/>
      <c r="AK74" s="144"/>
      <c r="AL74" s="144"/>
      <c r="AM74" s="144"/>
      <c r="AN74" s="144"/>
      <c r="AO74" s="144"/>
      <c r="AP74" s="144"/>
      <c r="AQ74" s="116"/>
      <c r="AR74" s="116"/>
      <c r="AS74" s="116"/>
      <c r="AT74" s="116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</row>
    <row r="75" spans="1:82">
      <c r="A75" s="144"/>
      <c r="B75" s="144"/>
      <c r="C75" s="116"/>
      <c r="D75" s="144"/>
      <c r="E75" s="116"/>
      <c r="F75" s="116"/>
      <c r="G75" s="116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1"/>
      <c r="AH75" s="144"/>
      <c r="AI75" s="144"/>
      <c r="AJ75" s="144"/>
      <c r="AK75" s="144"/>
      <c r="AL75" s="144"/>
      <c r="AM75" s="144"/>
      <c r="AN75" s="144"/>
      <c r="AO75" s="144"/>
      <c r="AP75" s="116"/>
      <c r="AQ75" s="144"/>
      <c r="AR75" s="116"/>
      <c r="AS75" s="116"/>
      <c r="AT75" s="116"/>
      <c r="AU75" s="144"/>
      <c r="AV75" s="144"/>
      <c r="AW75" s="144"/>
      <c r="AX75" s="144"/>
      <c r="AY75" s="144"/>
      <c r="AZ75" s="144"/>
      <c r="BA75" s="144"/>
      <c r="BB75" s="144"/>
      <c r="BC75" s="144"/>
      <c r="BD75" s="144"/>
      <c r="BE75" s="144"/>
      <c r="BF75" s="144"/>
      <c r="BG75" s="144"/>
      <c r="BH75" s="144"/>
      <c r="BI75" s="144"/>
      <c r="BJ75" s="144"/>
      <c r="BK75" s="144"/>
      <c r="BL75" s="144"/>
      <c r="BM75" s="144"/>
      <c r="BN75" s="144"/>
      <c r="BO75" s="144"/>
    </row>
    <row r="76" spans="1:82">
      <c r="A76" s="144"/>
      <c r="B76" s="144"/>
      <c r="C76" s="116"/>
      <c r="D76" s="116"/>
      <c r="E76" s="116"/>
      <c r="F76" s="116"/>
      <c r="G76" s="116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1"/>
      <c r="AH76" s="144"/>
      <c r="AI76" s="144"/>
      <c r="AJ76" s="144"/>
      <c r="AK76" s="144"/>
      <c r="AL76" s="144"/>
      <c r="AM76" s="144"/>
      <c r="AN76" s="144"/>
      <c r="AO76" s="144"/>
      <c r="AP76" s="116"/>
      <c r="AQ76" s="116"/>
      <c r="AR76" s="116"/>
      <c r="AS76" s="116"/>
      <c r="AT76" s="116"/>
      <c r="AU76" s="144"/>
      <c r="AV76" s="144"/>
      <c r="AW76" s="144"/>
      <c r="AX76" s="144"/>
      <c r="AY76" s="144"/>
      <c r="AZ76" s="144"/>
      <c r="BA76" s="144"/>
      <c r="BB76" s="144"/>
      <c r="BC76" s="144"/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4"/>
      <c r="BO76" s="144"/>
    </row>
    <row r="77" spans="1:82">
      <c r="A77" s="144"/>
      <c r="B77" s="144"/>
      <c r="C77" s="144"/>
      <c r="D77" s="116"/>
      <c r="E77" s="116"/>
      <c r="F77" s="116"/>
      <c r="G77" s="116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1"/>
      <c r="AH77" s="144"/>
      <c r="AI77" s="144"/>
      <c r="AJ77" s="144"/>
      <c r="AK77" s="144"/>
      <c r="AL77" s="144"/>
      <c r="AM77" s="144"/>
      <c r="AN77" s="144"/>
      <c r="AO77" s="144"/>
      <c r="AP77" s="144"/>
      <c r="AQ77" s="116"/>
      <c r="AR77" s="116"/>
      <c r="AS77" s="116"/>
      <c r="AT77" s="116"/>
      <c r="AU77" s="144"/>
      <c r="AV77" s="144"/>
      <c r="AW77" s="144"/>
      <c r="AX77" s="144"/>
      <c r="AY77" s="144"/>
      <c r="AZ77" s="144"/>
      <c r="BA77" s="144"/>
      <c r="BB77" s="144"/>
      <c r="BC77" s="144"/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4"/>
      <c r="BO77" s="144"/>
    </row>
    <row r="78" spans="1:82">
      <c r="A78" s="144"/>
      <c r="B78" s="144"/>
      <c r="C78" s="116"/>
      <c r="D78" s="116"/>
      <c r="E78" s="116"/>
      <c r="F78" s="116"/>
      <c r="G78" s="116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1"/>
      <c r="AH78" s="144"/>
      <c r="AI78" s="144"/>
      <c r="AJ78" s="144"/>
      <c r="AK78" s="144"/>
      <c r="AL78" s="144"/>
      <c r="AM78" s="144"/>
      <c r="AN78" s="144"/>
      <c r="AO78" s="144"/>
      <c r="AP78" s="116"/>
      <c r="AQ78" s="116"/>
      <c r="AR78" s="116"/>
      <c r="AS78" s="116"/>
      <c r="AT78" s="116"/>
      <c r="AU78" s="144"/>
      <c r="AV78" s="144"/>
      <c r="AW78" s="144"/>
      <c r="AX78" s="144"/>
      <c r="AY78" s="144"/>
      <c r="AZ78" s="144"/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/>
      <c r="BO78" s="144"/>
    </row>
    <row r="79" spans="1:82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1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  <c r="BC79" s="144"/>
      <c r="BD79" s="144"/>
      <c r="BE79" s="144"/>
      <c r="BF79" s="144"/>
      <c r="BG79" s="144"/>
      <c r="BH79" s="144"/>
      <c r="BI79" s="144"/>
      <c r="BJ79" s="144"/>
      <c r="BK79" s="144"/>
      <c r="BL79" s="144"/>
      <c r="BM79" s="144"/>
      <c r="BN79" s="144"/>
      <c r="BO79" s="144"/>
    </row>
    <row r="80" spans="1:82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1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4"/>
      <c r="BB80" s="144"/>
      <c r="BC80" s="144"/>
      <c r="BD80" s="144"/>
      <c r="BE80" s="144"/>
      <c r="BF80" s="144"/>
      <c r="BG80" s="144"/>
      <c r="BH80" s="144"/>
      <c r="BI80" s="144"/>
      <c r="BJ80" s="144"/>
      <c r="BK80" s="144"/>
      <c r="BL80" s="144"/>
      <c r="BM80" s="144"/>
      <c r="BN80" s="144"/>
      <c r="BO80" s="144"/>
    </row>
    <row r="81" spans="1:67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1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144"/>
      <c r="BM81" s="144"/>
      <c r="BN81" s="144"/>
      <c r="BO81" s="144"/>
    </row>
    <row r="82" spans="1:67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1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44"/>
      <c r="BB82" s="144"/>
      <c r="BC82" s="144"/>
      <c r="BD82" s="144"/>
      <c r="BE82" s="144"/>
      <c r="BF82" s="144"/>
      <c r="BG82" s="144"/>
      <c r="BH82" s="144"/>
      <c r="BI82" s="144"/>
      <c r="BJ82" s="144"/>
      <c r="BK82" s="144"/>
      <c r="BL82" s="144"/>
      <c r="BM82" s="144"/>
      <c r="BN82" s="144"/>
      <c r="BO82" s="144"/>
    </row>
    <row r="83" spans="1:67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1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</row>
    <row r="84" spans="1:67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1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4"/>
      <c r="BO84" s="144"/>
    </row>
  </sheetData>
  <mergeCells count="430">
    <mergeCell ref="O66:R66"/>
    <mergeCell ref="BB66:BE66"/>
    <mergeCell ref="O68:R68"/>
    <mergeCell ref="BB68:BE68"/>
    <mergeCell ref="O70:R70"/>
    <mergeCell ref="BB70:BE70"/>
    <mergeCell ref="O61:R61"/>
    <mergeCell ref="BB61:BE61"/>
    <mergeCell ref="O62:R62"/>
    <mergeCell ref="BB62:BE62"/>
    <mergeCell ref="O64:R64"/>
    <mergeCell ref="BB64:BE64"/>
    <mergeCell ref="X54:Y54"/>
    <mergeCell ref="Z54:AB54"/>
    <mergeCell ref="BK54:BL54"/>
    <mergeCell ref="BM54:BO54"/>
    <mergeCell ref="X55:Y55"/>
    <mergeCell ref="Z55:AB55"/>
    <mergeCell ref="BK55:BL55"/>
    <mergeCell ref="BM55:BO55"/>
    <mergeCell ref="X52:Y52"/>
    <mergeCell ref="Z52:AB52"/>
    <mergeCell ref="BK52:BL52"/>
    <mergeCell ref="BM52:BO52"/>
    <mergeCell ref="X53:Y53"/>
    <mergeCell ref="Z53:AB53"/>
    <mergeCell ref="BK53:BL53"/>
    <mergeCell ref="BM53:BO53"/>
    <mergeCell ref="X50:Y50"/>
    <mergeCell ref="Z50:AB50"/>
    <mergeCell ref="X51:Y51"/>
    <mergeCell ref="Z51:AB51"/>
    <mergeCell ref="BK51:BL51"/>
    <mergeCell ref="BM51:BO51"/>
    <mergeCell ref="BC44:BD44"/>
    <mergeCell ref="BE44:BF44"/>
    <mergeCell ref="AD46:AI46"/>
    <mergeCell ref="BQ46:BV46"/>
    <mergeCell ref="V48:AA48"/>
    <mergeCell ref="BI49:BN49"/>
    <mergeCell ref="L44:M44"/>
    <mergeCell ref="N44:O44"/>
    <mergeCell ref="P44:Q44"/>
    <mergeCell ref="R44:S44"/>
    <mergeCell ref="AY44:AZ44"/>
    <mergeCell ref="BA44:BB44"/>
    <mergeCell ref="AY41:AZ41"/>
    <mergeCell ref="BA41:BB41"/>
    <mergeCell ref="BC41:BD41"/>
    <mergeCell ref="BE41:BF41"/>
    <mergeCell ref="BC42:BD42"/>
    <mergeCell ref="BE42:BF42"/>
    <mergeCell ref="BG42:BJ42"/>
    <mergeCell ref="L43:M43"/>
    <mergeCell ref="N43:O43"/>
    <mergeCell ref="P43:S43"/>
    <mergeCell ref="AY43:AZ43"/>
    <mergeCell ref="BA43:BB43"/>
    <mergeCell ref="BC43:BF43"/>
    <mergeCell ref="J42:K42"/>
    <mergeCell ref="L42:M42"/>
    <mergeCell ref="N42:O42"/>
    <mergeCell ref="P42:Q42"/>
    <mergeCell ref="R42:S42"/>
    <mergeCell ref="T42:W42"/>
    <mergeCell ref="AW42:AX42"/>
    <mergeCell ref="AY42:AZ42"/>
    <mergeCell ref="BA42:BB42"/>
    <mergeCell ref="G40:H40"/>
    <mergeCell ref="J40:K40"/>
    <mergeCell ref="L40:M40"/>
    <mergeCell ref="N40:O40"/>
    <mergeCell ref="P40:Q40"/>
    <mergeCell ref="BC40:BD40"/>
    <mergeCell ref="BE40:BF40"/>
    <mergeCell ref="BG40:BJ40"/>
    <mergeCell ref="G41:H41"/>
    <mergeCell ref="J41:K41"/>
    <mergeCell ref="L41:M41"/>
    <mergeCell ref="N41:O41"/>
    <mergeCell ref="P41:Q41"/>
    <mergeCell ref="R41:S41"/>
    <mergeCell ref="T41:W41"/>
    <mergeCell ref="R40:S40"/>
    <mergeCell ref="T40:W40"/>
    <mergeCell ref="AT40:AU40"/>
    <mergeCell ref="AW40:AX40"/>
    <mergeCell ref="AY40:AZ40"/>
    <mergeCell ref="BA40:BB40"/>
    <mergeCell ref="BG41:BJ41"/>
    <mergeCell ref="AT41:AU41"/>
    <mergeCell ref="AW41:AX41"/>
    <mergeCell ref="BH38:BS38"/>
    <mergeCell ref="G39:H39"/>
    <mergeCell ref="J39:K39"/>
    <mergeCell ref="L39:M39"/>
    <mergeCell ref="N39:O39"/>
    <mergeCell ref="P39:Q39"/>
    <mergeCell ref="R39:S39"/>
    <mergeCell ref="T39:W39"/>
    <mergeCell ref="AT39:AU39"/>
    <mergeCell ref="AW39:AX39"/>
    <mergeCell ref="U38:AF38"/>
    <mergeCell ref="AW38:AX38"/>
    <mergeCell ref="AY38:AZ38"/>
    <mergeCell ref="BA38:BB38"/>
    <mergeCell ref="BC38:BD38"/>
    <mergeCell ref="BE38:BF38"/>
    <mergeCell ref="AY39:AZ39"/>
    <mergeCell ref="BA39:BB39"/>
    <mergeCell ref="BC39:BD39"/>
    <mergeCell ref="BE39:BF39"/>
    <mergeCell ref="BG39:BJ39"/>
    <mergeCell ref="AW37:AX37"/>
    <mergeCell ref="AY37:AZ37"/>
    <mergeCell ref="BA37:BB37"/>
    <mergeCell ref="BC37:BD37"/>
    <mergeCell ref="BE37:BF37"/>
    <mergeCell ref="J38:K38"/>
    <mergeCell ref="L38:M38"/>
    <mergeCell ref="N38:O38"/>
    <mergeCell ref="P38:Q38"/>
    <mergeCell ref="R38:S38"/>
    <mergeCell ref="J37:K37"/>
    <mergeCell ref="L37:M37"/>
    <mergeCell ref="N37:O37"/>
    <mergeCell ref="P37:Q37"/>
    <mergeCell ref="R37:S37"/>
    <mergeCell ref="U37:AF37"/>
    <mergeCell ref="BH35:BI35"/>
    <mergeCell ref="BJ35:BW36"/>
    <mergeCell ref="J36:K36"/>
    <mergeCell ref="L36:M36"/>
    <mergeCell ref="N36:O36"/>
    <mergeCell ref="P36:Q36"/>
    <mergeCell ref="R36:S36"/>
    <mergeCell ref="AW36:AX36"/>
    <mergeCell ref="AY36:AZ36"/>
    <mergeCell ref="BA36:BB36"/>
    <mergeCell ref="W35:AJ36"/>
    <mergeCell ref="AW35:AX35"/>
    <mergeCell ref="AY35:AZ35"/>
    <mergeCell ref="BA35:BB35"/>
    <mergeCell ref="BC35:BD35"/>
    <mergeCell ref="BE35:BF35"/>
    <mergeCell ref="BC36:BD36"/>
    <mergeCell ref="BE36:BF36"/>
    <mergeCell ref="J35:K35"/>
    <mergeCell ref="L35:M35"/>
    <mergeCell ref="N35:O35"/>
    <mergeCell ref="P35:Q35"/>
    <mergeCell ref="R35:S35"/>
    <mergeCell ref="U35:V35"/>
    <mergeCell ref="AW34:AX34"/>
    <mergeCell ref="AY34:AZ34"/>
    <mergeCell ref="BA34:BB34"/>
    <mergeCell ref="BC34:BD34"/>
    <mergeCell ref="BE34:BF34"/>
    <mergeCell ref="BH34:BI34"/>
    <mergeCell ref="AY33:AZ33"/>
    <mergeCell ref="BA33:BB33"/>
    <mergeCell ref="BC33:BD33"/>
    <mergeCell ref="BE33:BF33"/>
    <mergeCell ref="AW33:AX33"/>
    <mergeCell ref="J34:K34"/>
    <mergeCell ref="L34:M34"/>
    <mergeCell ref="N34:O34"/>
    <mergeCell ref="P34:Q34"/>
    <mergeCell ref="R34:S34"/>
    <mergeCell ref="U34:V34"/>
    <mergeCell ref="J33:K33"/>
    <mergeCell ref="L33:M33"/>
    <mergeCell ref="N33:O33"/>
    <mergeCell ref="P33:Q33"/>
    <mergeCell ref="R33:S33"/>
    <mergeCell ref="L31:O31"/>
    <mergeCell ref="P31:S32"/>
    <mergeCell ref="AY31:BB31"/>
    <mergeCell ref="BC31:BF32"/>
    <mergeCell ref="L32:M32"/>
    <mergeCell ref="N32:O32"/>
    <mergeCell ref="AY32:AZ32"/>
    <mergeCell ref="BA32:BB32"/>
    <mergeCell ref="J30:K30"/>
    <mergeCell ref="L30:O30"/>
    <mergeCell ref="P30:S30"/>
    <mergeCell ref="AD30:AE30"/>
    <mergeCell ref="AF30:AG30"/>
    <mergeCell ref="AW30:AX30"/>
    <mergeCell ref="AW28:AX28"/>
    <mergeCell ref="AW29:AX29"/>
    <mergeCell ref="AY29:BB29"/>
    <mergeCell ref="BC29:BF29"/>
    <mergeCell ref="BH29:BI30"/>
    <mergeCell ref="BQ29:BR29"/>
    <mergeCell ref="BS29:BT29"/>
    <mergeCell ref="AY30:BB30"/>
    <mergeCell ref="BC30:BF30"/>
    <mergeCell ref="BQ30:BR30"/>
    <mergeCell ref="BS30:BT30"/>
    <mergeCell ref="J29:K29"/>
    <mergeCell ref="L29:O29"/>
    <mergeCell ref="P29:S29"/>
    <mergeCell ref="U29:V30"/>
    <mergeCell ref="AD29:AE29"/>
    <mergeCell ref="AF29:AG29"/>
    <mergeCell ref="J28:K28"/>
    <mergeCell ref="L28:O28"/>
    <mergeCell ref="P28:S28"/>
    <mergeCell ref="AD28:AE28"/>
    <mergeCell ref="AF28:AG28"/>
    <mergeCell ref="BS27:BT27"/>
    <mergeCell ref="AY26:BB26"/>
    <mergeCell ref="BC26:BF26"/>
    <mergeCell ref="BQ26:BR26"/>
    <mergeCell ref="BS26:BT26"/>
    <mergeCell ref="AY28:BB28"/>
    <mergeCell ref="BC28:BF28"/>
    <mergeCell ref="BQ28:BR28"/>
    <mergeCell ref="BS28:BT28"/>
    <mergeCell ref="J27:K27"/>
    <mergeCell ref="L27:O27"/>
    <mergeCell ref="P27:S27"/>
    <mergeCell ref="U27:V27"/>
    <mergeCell ref="AD27:AE27"/>
    <mergeCell ref="AF27:AG27"/>
    <mergeCell ref="AY25:BB25"/>
    <mergeCell ref="BC25:BF25"/>
    <mergeCell ref="BQ25:BR25"/>
    <mergeCell ref="AW27:AX27"/>
    <mergeCell ref="AY27:BB27"/>
    <mergeCell ref="BC27:BF27"/>
    <mergeCell ref="BH27:BI27"/>
    <mergeCell ref="BQ27:BR27"/>
    <mergeCell ref="J26:K26"/>
    <mergeCell ref="L26:O26"/>
    <mergeCell ref="P26:S26"/>
    <mergeCell ref="AD26:AE26"/>
    <mergeCell ref="AF26:AG26"/>
    <mergeCell ref="AW26:AX26"/>
    <mergeCell ref="BC24:BF24"/>
    <mergeCell ref="BH24:BI24"/>
    <mergeCell ref="BQ24:BR24"/>
    <mergeCell ref="J25:K25"/>
    <mergeCell ref="L25:O25"/>
    <mergeCell ref="P25:S25"/>
    <mergeCell ref="AD25:AE25"/>
    <mergeCell ref="AF25:AG25"/>
    <mergeCell ref="AW25:AX25"/>
    <mergeCell ref="J24:K24"/>
    <mergeCell ref="L24:O24"/>
    <mergeCell ref="P24:S24"/>
    <mergeCell ref="U24:V24"/>
    <mergeCell ref="AD24:AE24"/>
    <mergeCell ref="AF24:AG24"/>
    <mergeCell ref="AW24:AX24"/>
    <mergeCell ref="AY24:BB24"/>
    <mergeCell ref="BS25:BT25"/>
    <mergeCell ref="BS24:BT24"/>
    <mergeCell ref="L22:O22"/>
    <mergeCell ref="P22:S22"/>
    <mergeCell ref="AD22:AE22"/>
    <mergeCell ref="AF22:AG22"/>
    <mergeCell ref="AY22:BB22"/>
    <mergeCell ref="BC22:BF22"/>
    <mergeCell ref="BQ22:BR22"/>
    <mergeCell ref="BS22:BT22"/>
    <mergeCell ref="J23:K23"/>
    <mergeCell ref="L23:O23"/>
    <mergeCell ref="P23:S23"/>
    <mergeCell ref="AD23:AE23"/>
    <mergeCell ref="AF23:AG23"/>
    <mergeCell ref="AW23:AX23"/>
    <mergeCell ref="AY23:BB23"/>
    <mergeCell ref="BC23:BF23"/>
    <mergeCell ref="BQ23:BR23"/>
    <mergeCell ref="BS23:BT23"/>
    <mergeCell ref="BC20:BD20"/>
    <mergeCell ref="BE20:BF20"/>
    <mergeCell ref="BQ20:BT20"/>
    <mergeCell ref="BU20:BV20"/>
    <mergeCell ref="BC19:BD19"/>
    <mergeCell ref="BE19:BF19"/>
    <mergeCell ref="BH19:BI20"/>
    <mergeCell ref="AD21:AE21"/>
    <mergeCell ref="AF21:AG21"/>
    <mergeCell ref="BQ21:BR21"/>
    <mergeCell ref="BS21:BT21"/>
    <mergeCell ref="E20:F20"/>
    <mergeCell ref="G20:H20"/>
    <mergeCell ref="I20:K20"/>
    <mergeCell ref="L20:M20"/>
    <mergeCell ref="N20:O20"/>
    <mergeCell ref="P20:Q20"/>
    <mergeCell ref="R20:S20"/>
    <mergeCell ref="R19:S19"/>
    <mergeCell ref="U19:V20"/>
    <mergeCell ref="AR19:AS19"/>
    <mergeCell ref="AT19:AU19"/>
    <mergeCell ref="AW19:AX19"/>
    <mergeCell ref="BA19:BB19"/>
    <mergeCell ref="AD20:AG20"/>
    <mergeCell ref="AH20:AJ20"/>
    <mergeCell ref="AR20:AS20"/>
    <mergeCell ref="AT20:AU20"/>
    <mergeCell ref="AW18:AX18"/>
    <mergeCell ref="BA18:BB18"/>
    <mergeCell ref="AW20:AX20"/>
    <mergeCell ref="BA20:BB20"/>
    <mergeCell ref="BC18:BD18"/>
    <mergeCell ref="BE18:BF18"/>
    <mergeCell ref="E19:F19"/>
    <mergeCell ref="G19:H19"/>
    <mergeCell ref="I19:K19"/>
    <mergeCell ref="L19:M19"/>
    <mergeCell ref="N19:O19"/>
    <mergeCell ref="P19:Q19"/>
    <mergeCell ref="BQ17:BS17"/>
    <mergeCell ref="E18:F18"/>
    <mergeCell ref="G18:H18"/>
    <mergeCell ref="I18:K18"/>
    <mergeCell ref="L18:M18"/>
    <mergeCell ref="N18:O18"/>
    <mergeCell ref="P18:Q18"/>
    <mergeCell ref="R18:S18"/>
    <mergeCell ref="AR18:AS18"/>
    <mergeCell ref="AT18:AU18"/>
    <mergeCell ref="AR17:AS17"/>
    <mergeCell ref="AT17:AU17"/>
    <mergeCell ref="AW17:AX17"/>
    <mergeCell ref="BA17:BB17"/>
    <mergeCell ref="BC17:BD17"/>
    <mergeCell ref="BE17:BF17"/>
    <mergeCell ref="BC16:BD16"/>
    <mergeCell ref="BE16:BF16"/>
    <mergeCell ref="E17:F17"/>
    <mergeCell ref="G17:H17"/>
    <mergeCell ref="I17:K17"/>
    <mergeCell ref="L17:M17"/>
    <mergeCell ref="N17:O17"/>
    <mergeCell ref="P17:Q17"/>
    <mergeCell ref="R17:S17"/>
    <mergeCell ref="AD17:AF17"/>
    <mergeCell ref="R16:S16"/>
    <mergeCell ref="AR16:AS16"/>
    <mergeCell ref="AT16:AU16"/>
    <mergeCell ref="AV16:AX16"/>
    <mergeCell ref="AY16:AZ16"/>
    <mergeCell ref="BA16:BB16"/>
    <mergeCell ref="E16:F16"/>
    <mergeCell ref="G16:H16"/>
    <mergeCell ref="I16:K16"/>
    <mergeCell ref="L16:M16"/>
    <mergeCell ref="N16:O16"/>
    <mergeCell ref="P16:Q16"/>
    <mergeCell ref="BP14:BQ14"/>
    <mergeCell ref="E15:H15"/>
    <mergeCell ref="I15:S15"/>
    <mergeCell ref="AR15:AU15"/>
    <mergeCell ref="AV15:BF15"/>
    <mergeCell ref="K13:M13"/>
    <mergeCell ref="N13:P13"/>
    <mergeCell ref="Q13:S13"/>
    <mergeCell ref="AX13:AZ13"/>
    <mergeCell ref="BA13:BC13"/>
    <mergeCell ref="BD13:BF13"/>
    <mergeCell ref="K12:M12"/>
    <mergeCell ref="N12:P12"/>
    <mergeCell ref="Q12:S12"/>
    <mergeCell ref="U12:V12"/>
    <mergeCell ref="AX12:AZ12"/>
    <mergeCell ref="BA12:BC12"/>
    <mergeCell ref="BD12:BF12"/>
    <mergeCell ref="BH12:BI12"/>
    <mergeCell ref="U14:V15"/>
    <mergeCell ref="AC14:AD14"/>
    <mergeCell ref="BH14:BI15"/>
    <mergeCell ref="BA10:BC10"/>
    <mergeCell ref="BD10:BF10"/>
    <mergeCell ref="BH10:BI11"/>
    <mergeCell ref="BP10:BQ10"/>
    <mergeCell ref="K11:M11"/>
    <mergeCell ref="N11:P11"/>
    <mergeCell ref="Q11:S11"/>
    <mergeCell ref="AB11:AD11"/>
    <mergeCell ref="AX11:AZ11"/>
    <mergeCell ref="BA11:BC11"/>
    <mergeCell ref="K10:M10"/>
    <mergeCell ref="N10:P10"/>
    <mergeCell ref="Q10:S10"/>
    <mergeCell ref="U10:V11"/>
    <mergeCell ref="AC10:AD10"/>
    <mergeCell ref="AX10:AZ10"/>
    <mergeCell ref="BD11:BF11"/>
    <mergeCell ref="BO11:BQ11"/>
    <mergeCell ref="K9:M9"/>
    <mergeCell ref="N9:P9"/>
    <mergeCell ref="Q9:S9"/>
    <mergeCell ref="AX9:AZ9"/>
    <mergeCell ref="BA9:BC9"/>
    <mergeCell ref="BD9:BF9"/>
    <mergeCell ref="BX5:BZ5"/>
    <mergeCell ref="Y6:Z6"/>
    <mergeCell ref="AK6:AL6"/>
    <mergeCell ref="BL6:BM6"/>
    <mergeCell ref="BX6:BY6"/>
    <mergeCell ref="K7:S7"/>
    <mergeCell ref="AX7:BF7"/>
    <mergeCell ref="A5:G5"/>
    <mergeCell ref="H5:S5"/>
    <mergeCell ref="T5:X5"/>
    <mergeCell ref="Y5:AJ5"/>
    <mergeCell ref="AN5:AT5"/>
    <mergeCell ref="AU5:BF5"/>
    <mergeCell ref="BG5:BK5"/>
    <mergeCell ref="BL5:BW5"/>
    <mergeCell ref="K8:S8"/>
    <mergeCell ref="AX8:BF8"/>
    <mergeCell ref="A1:AM3"/>
    <mergeCell ref="AN1:BZ3"/>
    <mergeCell ref="A4:G4"/>
    <mergeCell ref="H4:S4"/>
    <mergeCell ref="T4:X4"/>
    <mergeCell ref="Y4:AJ4"/>
    <mergeCell ref="AK4:AM4"/>
    <mergeCell ref="AN4:AT4"/>
    <mergeCell ref="AU4:BF4"/>
    <mergeCell ref="BG4:BK4"/>
    <mergeCell ref="BL4:BW4"/>
    <mergeCell ref="BX4:BZ4"/>
  </mergeCells>
  <pageMargins left="0.6692913385826772" right="0.62992125984251968" top="0.78740157480314965" bottom="0.39370078740157483" header="0.23622047244094491" footer="0.27559055118110237"/>
  <pageSetup paperSize="9" scale="66" orientation="landscape" r:id="rId1"/>
  <headerFooter alignWithMargins="0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Scrubber-10min</vt:lpstr>
      <vt:lpstr>Demister-10min</vt:lpstr>
      <vt:lpstr>'Demister-10min'!Print_Area</vt:lpstr>
      <vt:lpstr>'Scrubber-10min'!Print_Area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cp:lastPrinted>2018-02-05T06:45:46Z</cp:lastPrinted>
  <dcterms:created xsi:type="dcterms:W3CDTF">2017-12-03T22:34:14Z</dcterms:created>
  <dcterms:modified xsi:type="dcterms:W3CDTF">2018-02-05T09:02:04Z</dcterms:modified>
</cp:coreProperties>
</file>